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7815" tabRatio="735" activeTab="0"/>
  </bookViews>
  <sheets>
    <sheet name="Gen Rev" sheetId="1" r:id="rId1"/>
    <sheet name="Gen Exp" sheetId="2" r:id="rId2"/>
    <sheet name="Gov Rev" sheetId="3" r:id="rId3"/>
    <sheet name="Gov Exp" sheetId="4" r:id="rId4"/>
  </sheets>
  <definedNames>
    <definedName name="_xlnm.Print_Area" localSheetId="1">'Gen Exp'!$A$8:$AE$662</definedName>
    <definedName name="_xlnm.Print_Area" localSheetId="0">'Gen Rev'!#REF!</definedName>
    <definedName name="_xlnm.Print_Area" localSheetId="3">'Gov Exp'!$A$8:$AE$662</definedName>
    <definedName name="_xlnm.Print_Titles" localSheetId="1">'Gen Exp'!$1:$7</definedName>
    <definedName name="_xlnm.Print_Titles" localSheetId="0">'Gen Rev'!$1:$7</definedName>
    <definedName name="_xlnm.Print_Titles" localSheetId="3">'Gov Exp'!$1:$7</definedName>
    <definedName name="_xlnm.Print_Titles" localSheetId="2">'Gov Rev'!$1:$7</definedName>
  </definedNames>
  <calcPr fullCalcOnLoad="1"/>
</workbook>
</file>

<file path=xl/sharedStrings.xml><?xml version="1.0" encoding="utf-8"?>
<sst xmlns="http://schemas.openxmlformats.org/spreadsheetml/2006/main" count="5352" uniqueCount="792">
  <si>
    <t>Expenditures</t>
  </si>
  <si>
    <t>General Fund Expenditures</t>
  </si>
  <si>
    <t>Governmental Fund Expenditures</t>
  </si>
  <si>
    <t>Miscellaneous</t>
  </si>
  <si>
    <t>Other Debt Proceeds</t>
  </si>
  <si>
    <t>Transfers-In</t>
  </si>
  <si>
    <t>Transfers-Out</t>
  </si>
  <si>
    <t>Transportation</t>
  </si>
  <si>
    <t>County</t>
  </si>
  <si>
    <t>Village</t>
  </si>
  <si>
    <t xml:space="preserve">Security of </t>
  </si>
  <si>
    <t xml:space="preserve"> Property</t>
  </si>
  <si>
    <t>Persons and</t>
  </si>
  <si>
    <t xml:space="preserve"> Services</t>
  </si>
  <si>
    <t>Public Health</t>
  </si>
  <si>
    <t xml:space="preserve"> Activities</t>
  </si>
  <si>
    <t>Leisure Time</t>
  </si>
  <si>
    <t xml:space="preserve"> Environment</t>
  </si>
  <si>
    <t>Community</t>
  </si>
  <si>
    <t>Services</t>
  </si>
  <si>
    <t xml:space="preserve">Basic Utility </t>
  </si>
  <si>
    <t xml:space="preserve"> Government</t>
  </si>
  <si>
    <t>General</t>
  </si>
  <si>
    <t>Outlay</t>
  </si>
  <si>
    <t xml:space="preserve">Capital </t>
  </si>
  <si>
    <t xml:space="preserve"> of Principal</t>
  </si>
  <si>
    <t>Redemption</t>
  </si>
  <si>
    <t>Interest and</t>
  </si>
  <si>
    <t xml:space="preserve"> Charges</t>
  </si>
  <si>
    <t xml:space="preserve"> Other Fiscal</t>
  </si>
  <si>
    <t>Other</t>
  </si>
  <si>
    <t>Uses</t>
  </si>
  <si>
    <t xml:space="preserve"> Financing </t>
  </si>
  <si>
    <t xml:space="preserve"> Local Taxes</t>
  </si>
  <si>
    <t>and Other</t>
  </si>
  <si>
    <t>Income Tax</t>
  </si>
  <si>
    <t xml:space="preserve">Municipal </t>
  </si>
  <si>
    <t>mental</t>
  </si>
  <si>
    <t>Intergovern-</t>
  </si>
  <si>
    <t>Charges for</t>
  </si>
  <si>
    <t>Licenses</t>
  </si>
  <si>
    <t xml:space="preserve">Fines, </t>
  </si>
  <si>
    <t>Earnings on</t>
  </si>
  <si>
    <t xml:space="preserve">Sale of </t>
  </si>
  <si>
    <t>Financing</t>
  </si>
  <si>
    <t>Sources</t>
  </si>
  <si>
    <t xml:space="preserve">Special </t>
  </si>
  <si>
    <t>Assessments</t>
  </si>
  <si>
    <t>and Permits</t>
  </si>
  <si>
    <t>Investments</t>
  </si>
  <si>
    <t>Total</t>
  </si>
  <si>
    <t>Receipts</t>
  </si>
  <si>
    <t>Proceeds</t>
  </si>
  <si>
    <t>Advances-In</t>
  </si>
  <si>
    <t xml:space="preserve">Other </t>
  </si>
  <si>
    <t>Advances-Out</t>
  </si>
  <si>
    <t>Debt</t>
  </si>
  <si>
    <t>General Fund Revenues</t>
  </si>
  <si>
    <t>Property (1)</t>
  </si>
  <si>
    <t>Governmental Fund Revenues</t>
  </si>
  <si>
    <t>For the Year Ended December 31, 2004</t>
  </si>
  <si>
    <t>Capital Assets</t>
  </si>
  <si>
    <t>Transfers Out</t>
  </si>
  <si>
    <t xml:space="preserve">Advances Out </t>
  </si>
  <si>
    <t>Ada</t>
  </si>
  <si>
    <t>Hardin</t>
  </si>
  <si>
    <t>Adamsville</t>
  </si>
  <si>
    <t>Muskingum</t>
  </si>
  <si>
    <t>Adena</t>
  </si>
  <si>
    <t>Jefferson</t>
  </si>
  <si>
    <t>Albany</t>
  </si>
  <si>
    <t>Athens</t>
  </si>
  <si>
    <t>Amberley</t>
  </si>
  <si>
    <t>Hamilton</t>
  </si>
  <si>
    <t>Amsterdam</t>
  </si>
  <si>
    <t>Andover</t>
  </si>
  <si>
    <t>Ashtabula</t>
  </si>
  <si>
    <t>Ansonia</t>
  </si>
  <si>
    <t>Darke</t>
  </si>
  <si>
    <t>Antioch</t>
  </si>
  <si>
    <t>Monroe</t>
  </si>
  <si>
    <t>Antwerp</t>
  </si>
  <si>
    <t>Paulding</t>
  </si>
  <si>
    <t>Apple Creek</t>
  </si>
  <si>
    <t>Wayne</t>
  </si>
  <si>
    <t>Arcanum</t>
  </si>
  <si>
    <t>Archbold</t>
  </si>
  <si>
    <t>Fulton</t>
  </si>
  <si>
    <t>Arlington Heights</t>
  </si>
  <si>
    <t>Ashley</t>
  </si>
  <si>
    <t>Delaware</t>
  </si>
  <si>
    <t>Bailey Lakes</t>
  </si>
  <si>
    <t xml:space="preserve">Ashland </t>
  </si>
  <si>
    <t>Bairdstown</t>
  </si>
  <si>
    <t>Wood</t>
  </si>
  <si>
    <t>Baltic</t>
  </si>
  <si>
    <t>Tuscarawas</t>
  </si>
  <si>
    <t>Baltimore</t>
  </si>
  <si>
    <t>Fairfield</t>
  </si>
  <si>
    <t>Barnesville</t>
  </si>
  <si>
    <t>Belmont</t>
  </si>
  <si>
    <t>Batavia</t>
  </si>
  <si>
    <t>Clermont</t>
  </si>
  <si>
    <t>Batesville</t>
  </si>
  <si>
    <t>Noble</t>
  </si>
  <si>
    <t>Beach</t>
  </si>
  <si>
    <t>Stark</t>
  </si>
  <si>
    <t>Bellaire</t>
  </si>
  <si>
    <t>Belle Valley</t>
  </si>
  <si>
    <t>Belmore</t>
  </si>
  <si>
    <t>Putnam</t>
  </si>
  <si>
    <t>Bentleyville</t>
  </si>
  <si>
    <t>Cuyahoga</t>
  </si>
  <si>
    <t>Benton Ridge</t>
  </si>
  <si>
    <t>Hancock</t>
  </si>
  <si>
    <t>Bergholz</t>
  </si>
  <si>
    <t>Bethel</t>
  </si>
  <si>
    <t>Bettsville</t>
  </si>
  <si>
    <t>Seneca</t>
  </si>
  <si>
    <t>Beverly</t>
  </si>
  <si>
    <t>Washington</t>
  </si>
  <si>
    <t>Blanchester</t>
  </si>
  <si>
    <t>Clinton</t>
  </si>
  <si>
    <t>Bloomdale</t>
  </si>
  <si>
    <t>Bloomville</t>
  </si>
  <si>
    <t>Bluffton</t>
  </si>
  <si>
    <t xml:space="preserve">Allen   </t>
  </si>
  <si>
    <t>Bolivar</t>
  </si>
  <si>
    <t>Boston Heights</t>
  </si>
  <si>
    <t>Summit</t>
  </si>
  <si>
    <t>Botkins</t>
  </si>
  <si>
    <t>Shelby</t>
  </si>
  <si>
    <t>Bowerston</t>
  </si>
  <si>
    <t>Harrison</t>
  </si>
  <si>
    <t>Bradford</t>
  </si>
  <si>
    <t>Bradner</t>
  </si>
  <si>
    <t>Brady Lake</t>
  </si>
  <si>
    <t>Portage</t>
  </si>
  <si>
    <t>Brewster</t>
  </si>
  <si>
    <t>Brooklyn Heights</t>
  </si>
  <si>
    <t>Buchtel</t>
  </si>
  <si>
    <t>Burgoon</t>
  </si>
  <si>
    <t>Sandusky</t>
  </si>
  <si>
    <t>Burkettsville</t>
  </si>
  <si>
    <t>Burton</t>
  </si>
  <si>
    <t>Geagua</t>
  </si>
  <si>
    <t>Butler</t>
  </si>
  <si>
    <t>Richland</t>
  </si>
  <si>
    <t>Canal Winchester</t>
  </si>
  <si>
    <t>Franklin</t>
  </si>
  <si>
    <t>Carey</t>
  </si>
  <si>
    <t>Wyandot</t>
  </si>
  <si>
    <t>Carrollton</t>
  </si>
  <si>
    <t>Carroll</t>
  </si>
  <si>
    <t>Casstown</t>
  </si>
  <si>
    <t>Miami</t>
  </si>
  <si>
    <t>Cedarville</t>
  </si>
  <si>
    <t>Greene</t>
  </si>
  <si>
    <t>Chagrin Falls</t>
  </si>
  <si>
    <t>Chatfield</t>
  </si>
  <si>
    <t>Crawford</t>
  </si>
  <si>
    <t>Cherry Fork</t>
  </si>
  <si>
    <t xml:space="preserve">Adams </t>
  </si>
  <si>
    <t>Chesapeake</t>
  </si>
  <si>
    <t>Lawrence</t>
  </si>
  <si>
    <t>Cloverdale</t>
  </si>
  <si>
    <t>Coldwater</t>
  </si>
  <si>
    <t>Mercer</t>
  </si>
  <si>
    <t>Columbus Grove</t>
  </si>
  <si>
    <t>Conesville</t>
  </si>
  <si>
    <t>Coshocton</t>
  </si>
  <si>
    <t>Corwin</t>
  </si>
  <si>
    <t>Warren</t>
  </si>
  <si>
    <t>Covington</t>
  </si>
  <si>
    <t>Creston</t>
  </si>
  <si>
    <t>Wayne/Medina</t>
  </si>
  <si>
    <t>Cridersville</t>
  </si>
  <si>
    <t>Auglaize</t>
  </si>
  <si>
    <t>Crooksville</t>
  </si>
  <si>
    <t>Perry</t>
  </si>
  <si>
    <t>Dalton</t>
  </si>
  <si>
    <t>Danville</t>
  </si>
  <si>
    <t>Knox</t>
  </si>
  <si>
    <t>Darbyville</t>
  </si>
  <si>
    <t>Pickaway</t>
  </si>
  <si>
    <t>Deersville</t>
  </si>
  <si>
    <t>Delta</t>
  </si>
  <si>
    <t>Doylestown</t>
  </si>
  <si>
    <t>East Canton</t>
  </si>
  <si>
    <t>Edgerton</t>
  </si>
  <si>
    <t>Williams</t>
  </si>
  <si>
    <t>Elgin</t>
  </si>
  <si>
    <t>Van Wert</t>
  </si>
  <si>
    <t>Enon</t>
  </si>
  <si>
    <t>Clark</t>
  </si>
  <si>
    <t>Evendale</t>
  </si>
  <si>
    <t>Fairport Harbor</t>
  </si>
  <si>
    <t>Lake</t>
  </si>
  <si>
    <t>Fairview</t>
  </si>
  <si>
    <t>Guernsey</t>
  </si>
  <si>
    <t>Fayette</t>
  </si>
  <si>
    <t>Felicity</t>
  </si>
  <si>
    <t>Forest</t>
  </si>
  <si>
    <t>Fort Recovery</t>
  </si>
  <si>
    <t>Fort Shawnee</t>
  </si>
  <si>
    <t>Fredericksburg</t>
  </si>
  <si>
    <t>Fredericktown</t>
  </si>
  <si>
    <t>Freeport</t>
  </si>
  <si>
    <t>Fultonham</t>
  </si>
  <si>
    <t>Gallipolis</t>
  </si>
  <si>
    <t>Gallia</t>
  </si>
  <si>
    <t>Gambier</t>
  </si>
  <si>
    <t>Garrettsville</t>
  </si>
  <si>
    <t>Gates Mills</t>
  </si>
  <si>
    <t>Genoa</t>
  </si>
  <si>
    <t>Ottawa</t>
  </si>
  <si>
    <t>Germantown</t>
  </si>
  <si>
    <t>Montgomery</t>
  </si>
  <si>
    <t>Glendale</t>
  </si>
  <si>
    <t>Glenford</t>
  </si>
  <si>
    <t>Glenmont</t>
  </si>
  <si>
    <t>Holmes</t>
  </si>
  <si>
    <t>Gnadenhutten</t>
  </si>
  <si>
    <t>Golf Manor</t>
  </si>
  <si>
    <t>Lewisburg</t>
  </si>
  <si>
    <t>Preble</t>
  </si>
  <si>
    <t>Gordon</t>
  </si>
  <si>
    <t>Grafton</t>
  </si>
  <si>
    <t>Lorain</t>
  </si>
  <si>
    <t>Grand River</t>
  </si>
  <si>
    <t>Granville</t>
  </si>
  <si>
    <t>Licking</t>
  </si>
  <si>
    <t>Gratiot</t>
  </si>
  <si>
    <t>Graysville</t>
  </si>
  <si>
    <t>Groveport</t>
  </si>
  <si>
    <t>Hamend</t>
  </si>
  <si>
    <t>Vinton</t>
  </si>
  <si>
    <t>Hanover</t>
  </si>
  <si>
    <t>Hanlu</t>
  </si>
  <si>
    <t>Henry</t>
  </si>
  <si>
    <t>Hartford</t>
  </si>
  <si>
    <t>Hartville</t>
  </si>
  <si>
    <t>Hebron</t>
  </si>
  <si>
    <t>Hicksville</t>
  </si>
  <si>
    <t>Defiance</t>
  </si>
  <si>
    <t>Higginsport</t>
  </si>
  <si>
    <t>Brown</t>
  </si>
  <si>
    <t>Highland</t>
  </si>
  <si>
    <t>Holgate</t>
  </si>
  <si>
    <t>Holland</t>
  </si>
  <si>
    <t>Lucas</t>
  </si>
  <si>
    <t>Hollansburg</t>
  </si>
  <si>
    <t>Hunting Valley</t>
  </si>
  <si>
    <t>Ithaca</t>
  </si>
  <si>
    <t>Jacksonville</t>
  </si>
  <si>
    <t xml:space="preserve">Jefferson  </t>
  </si>
  <si>
    <t>Jenera</t>
  </si>
  <si>
    <t>Jeromesville</t>
  </si>
  <si>
    <t>Jerry City</t>
  </si>
  <si>
    <t>Junction City</t>
  </si>
  <si>
    <t>Kelley's Island</t>
  </si>
  <si>
    <t>Erie</t>
  </si>
  <si>
    <t>Kettersville</t>
  </si>
  <si>
    <t>Killbuck</t>
  </si>
  <si>
    <t>Kimbolton</t>
  </si>
  <si>
    <t>Kirkland Hills</t>
  </si>
  <si>
    <t>Lakeline</t>
  </si>
  <si>
    <t>LaRue</t>
  </si>
  <si>
    <t>Marion</t>
  </si>
  <si>
    <t>Lawrenceville</t>
  </si>
  <si>
    <t>Lexington</t>
  </si>
  <si>
    <t>Lincoln Heights</t>
  </si>
  <si>
    <t xml:space="preserve">Lockington </t>
  </si>
  <si>
    <t>Lodi</t>
  </si>
  <si>
    <t>Medina</t>
  </si>
  <si>
    <t>Lordstown</t>
  </si>
  <si>
    <t>Trumbull</t>
  </si>
  <si>
    <t>Luckey</t>
  </si>
  <si>
    <t>Magnolia</t>
  </si>
  <si>
    <t>Malta</t>
  </si>
  <si>
    <t>Morgan</t>
  </si>
  <si>
    <t>Mariemont</t>
  </si>
  <si>
    <t>Marksburg</t>
  </si>
  <si>
    <t>Marseilles</t>
  </si>
  <si>
    <t>Marshallville</t>
  </si>
  <si>
    <t>Mayfield</t>
  </si>
  <si>
    <t>McArthur</t>
  </si>
  <si>
    <t>McComb</t>
  </si>
  <si>
    <t>McDonald</t>
  </si>
  <si>
    <t>Metamora</t>
  </si>
  <si>
    <t>Middlefield</t>
  </si>
  <si>
    <t>Geauga</t>
  </si>
  <si>
    <t>Midway</t>
  </si>
  <si>
    <t>Madison</t>
  </si>
  <si>
    <t>Milan</t>
  </si>
  <si>
    <t>Millersburg</t>
  </si>
  <si>
    <t>Milton Center</t>
  </si>
  <si>
    <t>Miltonsburg</t>
  </si>
  <si>
    <t xml:space="preserve">Minerva  </t>
  </si>
  <si>
    <t>Mingo Junction</t>
  </si>
  <si>
    <t>Minster</t>
  </si>
  <si>
    <t>Mogadore</t>
  </si>
  <si>
    <t>Monroeville</t>
  </si>
  <si>
    <t>Huron</t>
  </si>
  <si>
    <t>Montpelier</t>
  </si>
  <si>
    <t>Moreland Hills</t>
  </si>
  <si>
    <t>Mt. Blanchard</t>
  </si>
  <si>
    <t>Mt. Cory</t>
  </si>
  <si>
    <t>Mt. Giliad</t>
  </si>
  <si>
    <t>Morrow</t>
  </si>
  <si>
    <t>Mt. Pleasant</t>
  </si>
  <si>
    <t>Mutual</t>
  </si>
  <si>
    <t>Champaign</t>
  </si>
  <si>
    <t>Navarre</t>
  </si>
  <si>
    <t>Nellie</t>
  </si>
  <si>
    <t>Nevada</t>
  </si>
  <si>
    <t>New Albany</t>
  </si>
  <si>
    <t>New Boston</t>
  </si>
  <si>
    <t>Scioto</t>
  </si>
  <si>
    <t>New Bremen</t>
  </si>
  <si>
    <t>New Concord</t>
  </si>
  <si>
    <t>New Franklin</t>
  </si>
  <si>
    <t>New Lebanon</t>
  </si>
  <si>
    <t>New London</t>
  </si>
  <si>
    <t>New Weston</t>
  </si>
  <si>
    <t>Newburgh Heights</t>
  </si>
  <si>
    <t>Newcomerstown</t>
  </si>
  <si>
    <t>Newtonville</t>
  </si>
  <si>
    <t>North Baltimore</t>
  </si>
  <si>
    <t>North Lewisburg</t>
  </si>
  <si>
    <t>North Robinson</t>
  </si>
  <si>
    <t xml:space="preserve">North Star </t>
  </si>
  <si>
    <t>Northfield</t>
  </si>
  <si>
    <t>Oak Harbor</t>
  </si>
  <si>
    <t>Oakwood</t>
  </si>
  <si>
    <t xml:space="preserve">Ohio City </t>
  </si>
  <si>
    <t>Orange</t>
  </si>
  <si>
    <t>Osgood</t>
  </si>
  <si>
    <t>Ostrander</t>
  </si>
  <si>
    <t>Ottawa Hills</t>
  </si>
  <si>
    <t>Palestine</t>
  </si>
  <si>
    <t>Pandora</t>
  </si>
  <si>
    <t>Parral</t>
  </si>
  <si>
    <t>Patterson</t>
  </si>
  <si>
    <t>Payne</t>
  </si>
  <si>
    <t>Peebles</t>
  </si>
  <si>
    <t>Adams</t>
  </si>
  <si>
    <t>Peninsula</t>
  </si>
  <si>
    <t xml:space="preserve">Perry </t>
  </si>
  <si>
    <t>Perrysville</t>
  </si>
  <si>
    <t>Phillipsburg</t>
  </si>
  <si>
    <t>Philo</t>
  </si>
  <si>
    <t>Piketon</t>
  </si>
  <si>
    <t>Pike</t>
  </si>
  <si>
    <t>Pioneer</t>
  </si>
  <si>
    <t>Plain City</t>
  </si>
  <si>
    <t>Plainfield</t>
  </si>
  <si>
    <t>Port Jefferson</t>
  </si>
  <si>
    <t>Rarden</t>
  </si>
  <si>
    <t>Richfield</t>
  </si>
  <si>
    <t>Ripley</t>
  </si>
  <si>
    <t>Riverlea</t>
  </si>
  <si>
    <t>Roaming Shores</t>
  </si>
  <si>
    <t>Rock Creek</t>
  </si>
  <si>
    <t>Rockford</t>
  </si>
  <si>
    <t>Roseville</t>
  </si>
  <si>
    <t>Rossburg</t>
  </si>
  <si>
    <t>Roswell</t>
  </si>
  <si>
    <t>Russells Point</t>
  </si>
  <si>
    <t>Logan</t>
  </si>
  <si>
    <t>Russia</t>
  </si>
  <si>
    <t>Rutland</t>
  </si>
  <si>
    <t>Meigs</t>
  </si>
  <si>
    <t>Sarahsville</t>
  </si>
  <si>
    <t>Savannah</t>
  </si>
  <si>
    <t>Scio</t>
  </si>
  <si>
    <t>Seaman</t>
  </si>
  <si>
    <t>Sebring</t>
  </si>
  <si>
    <t>Mahoning</t>
  </si>
  <si>
    <t>Sheffield</t>
  </si>
  <si>
    <t>Shiloh</t>
  </si>
  <si>
    <t>Shreve</t>
  </si>
  <si>
    <t>Silver Lake</t>
  </si>
  <si>
    <t>Sinking Spring</t>
  </si>
  <si>
    <t>Smithville</t>
  </si>
  <si>
    <t>Somerset</t>
  </si>
  <si>
    <t>South Amherst</t>
  </si>
  <si>
    <t>South Russell</t>
  </si>
  <si>
    <t>St. Louisville</t>
  </si>
  <si>
    <t>St. Martin</t>
  </si>
  <si>
    <t>Stafford</t>
  </si>
  <si>
    <t>Strasburg</t>
  </si>
  <si>
    <t>Stratton</t>
  </si>
  <si>
    <t>Stryker</t>
  </si>
  <si>
    <t>Sugarcreek</t>
  </si>
  <si>
    <t>Sunbury</t>
  </si>
  <si>
    <t>Swanton</t>
  </si>
  <si>
    <t>Terrace Park</t>
  </si>
  <si>
    <t>Thornville</t>
  </si>
  <si>
    <t>Timberlake</t>
  </si>
  <si>
    <t>Tontogany</t>
  </si>
  <si>
    <t>Union City</t>
  </si>
  <si>
    <t>Utica</t>
  </si>
  <si>
    <t>Valley Hi</t>
  </si>
  <si>
    <t>Valley View</t>
  </si>
  <si>
    <t>Van Buren</t>
  </si>
  <si>
    <t>Verona</t>
  </si>
  <si>
    <t>Versailles</t>
  </si>
  <si>
    <t>Waite Hill</t>
  </si>
  <si>
    <t>Waterville</t>
  </si>
  <si>
    <t>Wayne Lakes</t>
  </si>
  <si>
    <t>Waynesburg</t>
  </si>
  <si>
    <t>Wellington</t>
  </si>
  <si>
    <t>Wellsville</t>
  </si>
  <si>
    <t>Columbiana</t>
  </si>
  <si>
    <t>West Alexandria</t>
  </si>
  <si>
    <t>West Jefferson</t>
  </si>
  <si>
    <t>West Lafayette</t>
  </si>
  <si>
    <t>West Leipsie</t>
  </si>
  <si>
    <t>West Manchester</t>
  </si>
  <si>
    <t>West Milton</t>
  </si>
  <si>
    <t>West Rushville</t>
  </si>
  <si>
    <t>Whitehouse</t>
  </si>
  <si>
    <t>Wilkesville</t>
  </si>
  <si>
    <t>Willshire</t>
  </si>
  <si>
    <t>Wilson</t>
  </si>
  <si>
    <t>Woodlawn</t>
  </si>
  <si>
    <t>Woodmere</t>
  </si>
  <si>
    <t>Woodstock</t>
  </si>
  <si>
    <t>Woodville</t>
  </si>
  <si>
    <t>Yellow Springs</t>
  </si>
  <si>
    <t>Yorkshire</t>
  </si>
  <si>
    <t>Yorkville</t>
  </si>
  <si>
    <t>Zaleski</t>
  </si>
  <si>
    <t>Zanesfield</t>
  </si>
  <si>
    <t>Mercer/Darke</t>
  </si>
  <si>
    <t>Caldwell</t>
  </si>
  <si>
    <t xml:space="preserve">Noble </t>
  </si>
  <si>
    <t>Clifton</t>
  </si>
  <si>
    <t>Greene/Clark</t>
  </si>
  <si>
    <t>Orwell</t>
  </si>
  <si>
    <t>Pleasant City</t>
  </si>
  <si>
    <t>Miami/Darke</t>
  </si>
  <si>
    <t>Manchester</t>
  </si>
  <si>
    <t>West Union</t>
  </si>
  <si>
    <t>Winchester</t>
  </si>
  <si>
    <t>Beaverdam</t>
  </si>
  <si>
    <t>Allen</t>
  </si>
  <si>
    <t>Elida</t>
  </si>
  <si>
    <t>Harrod</t>
  </si>
  <si>
    <t>Lafayette</t>
  </si>
  <si>
    <t>Spencerville</t>
  </si>
  <si>
    <t>Hayesville</t>
  </si>
  <si>
    <t>Ashland</t>
  </si>
  <si>
    <t>Mifflin</t>
  </si>
  <si>
    <t>Polk</t>
  </si>
  <si>
    <t>Geneva On The Lake</t>
  </si>
  <si>
    <t>North Kingsville</t>
  </si>
  <si>
    <t>Amesville</t>
  </si>
  <si>
    <t>Glouster</t>
  </si>
  <si>
    <t>Trimble</t>
  </si>
  <si>
    <t>Buckland</t>
  </si>
  <si>
    <t>New Knoxville</t>
  </si>
  <si>
    <t>Uniopolis</t>
  </si>
  <si>
    <t>Waynesfield</t>
  </si>
  <si>
    <t>Bethesda</t>
  </si>
  <si>
    <t>Brookside</t>
  </si>
  <si>
    <t>Flushing</t>
  </si>
  <si>
    <t>Holloway</t>
  </si>
  <si>
    <t>Morristown</t>
  </si>
  <si>
    <t>Powhatan Point</t>
  </si>
  <si>
    <t>Shadyside</t>
  </si>
  <si>
    <t>Aberdeen</t>
  </si>
  <si>
    <t>Fayetteville</t>
  </si>
  <si>
    <t>Georgetown</t>
  </si>
  <si>
    <t>Hamersville</t>
  </si>
  <si>
    <t>Mt. Orab</t>
  </si>
  <si>
    <t>Sardinia</t>
  </si>
  <si>
    <t>Millville</t>
  </si>
  <si>
    <t>Seven Mile</t>
  </si>
  <si>
    <t>Somerville</t>
  </si>
  <si>
    <t>Dellroy</t>
  </si>
  <si>
    <t>Leesville</t>
  </si>
  <si>
    <t>Malvern</t>
  </si>
  <si>
    <t>Sherrodsville</t>
  </si>
  <si>
    <t>Christiansburg</t>
  </si>
  <si>
    <t>St. Paris</t>
  </si>
  <si>
    <t>Catawba</t>
  </si>
  <si>
    <t>North Hampton</t>
  </si>
  <si>
    <t>South Charlesto</t>
  </si>
  <si>
    <t>South Vienna</t>
  </si>
  <si>
    <t>Tremont</t>
  </si>
  <si>
    <t>Amelia</t>
  </si>
  <si>
    <t>Moscow</t>
  </si>
  <si>
    <t>Neville</t>
  </si>
  <si>
    <t>Newtonsville</t>
  </si>
  <si>
    <t>New Richmond</t>
  </si>
  <si>
    <t>Owensville</t>
  </si>
  <si>
    <t>Williamsburg</t>
  </si>
  <si>
    <t>Clarksville</t>
  </si>
  <si>
    <t>Martinsville</t>
  </si>
  <si>
    <t>New Vienna</t>
  </si>
  <si>
    <t>Port William</t>
  </si>
  <si>
    <t>Sabina</t>
  </si>
  <si>
    <t>Hanoverton</t>
  </si>
  <si>
    <t>Leetonia</t>
  </si>
  <si>
    <t>Lisbon</t>
  </si>
  <si>
    <t>New Waterford</t>
  </si>
  <si>
    <t>Rogers</t>
  </si>
  <si>
    <t>Salineville</t>
  </si>
  <si>
    <t>Summitville</t>
  </si>
  <si>
    <t>Washingtonville</t>
  </si>
  <si>
    <t>Warsaw</t>
  </si>
  <si>
    <t>New Washington</t>
  </si>
  <si>
    <t>Tiro</t>
  </si>
  <si>
    <t>Bratenahl</t>
  </si>
  <si>
    <t>Glenwillow</t>
  </si>
  <si>
    <t>Linndale</t>
  </si>
  <si>
    <t>North Randall</t>
  </si>
  <si>
    <t>Walton Hills</t>
  </si>
  <si>
    <t>Castine</t>
  </si>
  <si>
    <t>Gettysburg</t>
  </si>
  <si>
    <t>New Madison</t>
  </si>
  <si>
    <t>Pitsburg</t>
  </si>
  <si>
    <t>Ney</t>
  </si>
  <si>
    <t>Sherwood</t>
  </si>
  <si>
    <t>Galena</t>
  </si>
  <si>
    <t>Bay View</t>
  </si>
  <si>
    <t>Berlin Heights</t>
  </si>
  <si>
    <t>Castalia</t>
  </si>
  <si>
    <t>Amanda</t>
  </si>
  <si>
    <t>Bremen</t>
  </si>
  <si>
    <t>Millersport</t>
  </si>
  <si>
    <t>Pleasantville</t>
  </si>
  <si>
    <t>Rushville</t>
  </si>
  <si>
    <t>Sugar Grove</t>
  </si>
  <si>
    <t>Thurston</t>
  </si>
  <si>
    <t>Bloomingburg</t>
  </si>
  <si>
    <t>Jeffersonville</t>
  </si>
  <si>
    <t>Milledgeville</t>
  </si>
  <si>
    <t>Octa</t>
  </si>
  <si>
    <t>Brice</t>
  </si>
  <si>
    <t>Harrisburg</t>
  </si>
  <si>
    <t>Lockbourne</t>
  </si>
  <si>
    <t>Marble Cliff</t>
  </si>
  <si>
    <t>Minerva Park</t>
  </si>
  <si>
    <t>Obetz</t>
  </si>
  <si>
    <t>Urbancrest</t>
  </si>
  <si>
    <t>Valleyview</t>
  </si>
  <si>
    <t>Lyons</t>
  </si>
  <si>
    <t>Centerville</t>
  </si>
  <si>
    <t>Cheshire</t>
  </si>
  <si>
    <t>Crown City</t>
  </si>
  <si>
    <t>Rio Grande</t>
  </si>
  <si>
    <t>Bowersville</t>
  </si>
  <si>
    <t>Jamestown</t>
  </si>
  <si>
    <t>Spring Valley</t>
  </si>
  <si>
    <t>Byesville</t>
  </si>
  <si>
    <t>Cumberland</t>
  </si>
  <si>
    <t>Lore City</t>
  </si>
  <si>
    <t>Quaker City</t>
  </si>
  <si>
    <t>Salesville</t>
  </si>
  <si>
    <t>Senecaville</t>
  </si>
  <si>
    <t>Addyston</t>
  </si>
  <si>
    <t>Cleves</t>
  </si>
  <si>
    <t>Elmwood Place</t>
  </si>
  <si>
    <t>Fairfax</t>
  </si>
  <si>
    <t>Greenhills</t>
  </si>
  <si>
    <t>Lockland</t>
  </si>
  <si>
    <t>Newtown</t>
  </si>
  <si>
    <t>North Bend</t>
  </si>
  <si>
    <t>Arcadia</t>
  </si>
  <si>
    <t>Arlington</t>
  </si>
  <si>
    <t>Rawson</t>
  </si>
  <si>
    <t>Vanlue</t>
  </si>
  <si>
    <t>Dunkirk</t>
  </si>
  <si>
    <t>Mount Victory</t>
  </si>
  <si>
    <t>Ridgeway</t>
  </si>
  <si>
    <t>Cadiz</t>
  </si>
  <si>
    <t>Harrisville</t>
  </si>
  <si>
    <t>Hopedale</t>
  </si>
  <si>
    <t>Jewett</t>
  </si>
  <si>
    <t>New Athens</t>
  </si>
  <si>
    <t>Deshler</t>
  </si>
  <si>
    <t>Florida</t>
  </si>
  <si>
    <t>Liberty Center</t>
  </si>
  <si>
    <t>Malinta</t>
  </si>
  <si>
    <t>New Bavaria</t>
  </si>
  <si>
    <t>Leesburg</t>
  </si>
  <si>
    <t>Lynchburg</t>
  </si>
  <si>
    <t>Laurelville</t>
  </si>
  <si>
    <t>Hocking</t>
  </si>
  <si>
    <t>Murray City</t>
  </si>
  <si>
    <t>Greenwich</t>
  </si>
  <si>
    <t>North Fairfield</t>
  </si>
  <si>
    <t>Oak Hill</t>
  </si>
  <si>
    <t>Jackson</t>
  </si>
  <si>
    <t>Bloomingdale</t>
  </si>
  <si>
    <t>Dillonvale</t>
  </si>
  <si>
    <t>Empire</t>
  </si>
  <si>
    <t>Irondale</t>
  </si>
  <si>
    <t>Richmond</t>
  </si>
  <si>
    <t>Tiltonsville</t>
  </si>
  <si>
    <t>Wintersville</t>
  </si>
  <si>
    <t>Centerburg</t>
  </si>
  <si>
    <t>Gann</t>
  </si>
  <si>
    <t>Martinsburg</t>
  </si>
  <si>
    <t>North Perry</t>
  </si>
  <si>
    <t>Coal Grove</t>
  </si>
  <si>
    <t>Hanging Rock</t>
  </si>
  <si>
    <t>Proctorville</t>
  </si>
  <si>
    <t>South Point</t>
  </si>
  <si>
    <t>Alexandria</t>
  </si>
  <si>
    <t>Buckeye Lake</t>
  </si>
  <si>
    <t>Johnstown</t>
  </si>
  <si>
    <t>Kirkersville</t>
  </si>
  <si>
    <t>Belle Center</t>
  </si>
  <si>
    <t>Degraff</t>
  </si>
  <si>
    <t>Huntsville</t>
  </si>
  <si>
    <t>Lakeview</t>
  </si>
  <si>
    <t>Quincy</t>
  </si>
  <si>
    <t>Rushsylvania</t>
  </si>
  <si>
    <t>West Liberty</t>
  </si>
  <si>
    <t>Kipton</t>
  </si>
  <si>
    <t>Lagrange</t>
  </si>
  <si>
    <t>Rochester</t>
  </si>
  <si>
    <t>Berkey</t>
  </si>
  <si>
    <t>Harbor View</t>
  </si>
  <si>
    <t>Mount Sterling</t>
  </si>
  <si>
    <t>South Solon</t>
  </si>
  <si>
    <t>Beloit</t>
  </si>
  <si>
    <t>Craig Beach</t>
  </si>
  <si>
    <t>Lowellville</t>
  </si>
  <si>
    <t>New Middletown</t>
  </si>
  <si>
    <t>Poland</t>
  </si>
  <si>
    <t>Caledonia</t>
  </si>
  <si>
    <t>Green Camp</t>
  </si>
  <si>
    <t>Morral</t>
  </si>
  <si>
    <t>New Bloomington</t>
  </si>
  <si>
    <t>Prospect</t>
  </si>
  <si>
    <t>Waldo</t>
  </si>
  <si>
    <t>Chippewa Lake</t>
  </si>
  <si>
    <t>Gloria Glens Park</t>
  </si>
  <si>
    <t>Seville</t>
  </si>
  <si>
    <t>Spencer</t>
  </si>
  <si>
    <t>Westfield Center</t>
  </si>
  <si>
    <t>Middleport</t>
  </si>
  <si>
    <t>Pomeroy</t>
  </si>
  <si>
    <t>Racine</t>
  </si>
  <si>
    <t>Syracuse</t>
  </si>
  <si>
    <t>Chickasaw</t>
  </si>
  <si>
    <t>Mendon</t>
  </si>
  <si>
    <t>Montezuma</t>
  </si>
  <si>
    <t>Saint Henry</t>
  </si>
  <si>
    <t>Fletcher</t>
  </si>
  <si>
    <t>Laura</t>
  </si>
  <si>
    <t>Pleasant Hill</t>
  </si>
  <si>
    <t>Potsdam</t>
  </si>
  <si>
    <t>Beallsville</t>
  </si>
  <si>
    <t>Clarington</t>
  </si>
  <si>
    <t>Lewisville</t>
  </si>
  <si>
    <t>Woodsfield</t>
  </si>
  <si>
    <t>Farmersville</t>
  </si>
  <si>
    <t>Stockport</t>
  </si>
  <si>
    <t>Cardington</t>
  </si>
  <si>
    <t>Chesterville</t>
  </si>
  <si>
    <t>Edison</t>
  </si>
  <si>
    <t>Marengo</t>
  </si>
  <si>
    <t>Dresden</t>
  </si>
  <si>
    <t>Frazeysburg</t>
  </si>
  <si>
    <t>Norwich</t>
  </si>
  <si>
    <t>South Zanesville</t>
  </si>
  <si>
    <t>Summerfield</t>
  </si>
  <si>
    <t>Clay Center</t>
  </si>
  <si>
    <t>Elmore</t>
  </si>
  <si>
    <t>Marblehead</t>
  </si>
  <si>
    <t>Put-In-Bay</t>
  </si>
  <si>
    <t>Broughton</t>
  </si>
  <si>
    <t>Cecil</t>
  </si>
  <si>
    <t>Haviland</t>
  </si>
  <si>
    <t>Latty</t>
  </si>
  <si>
    <t>Melrose</t>
  </si>
  <si>
    <t>Corning</t>
  </si>
  <si>
    <t>Rendville</t>
  </si>
  <si>
    <t>Shawnee</t>
  </si>
  <si>
    <t>Ashville</t>
  </si>
  <si>
    <t>New Holland</t>
  </si>
  <si>
    <t>Orient</t>
  </si>
  <si>
    <t>Tarlton</t>
  </si>
  <si>
    <t>Williamsport</t>
  </si>
  <si>
    <t>Beaver</t>
  </si>
  <si>
    <t>Hiram</t>
  </si>
  <si>
    <t>Mantua</t>
  </si>
  <si>
    <t>Sugar Bush Knolls</t>
  </si>
  <si>
    <t>Windham</t>
  </si>
  <si>
    <t>Camden</t>
  </si>
  <si>
    <t>College Corner</t>
  </si>
  <si>
    <t>Eldorado</t>
  </si>
  <si>
    <t>Gratis</t>
  </si>
  <si>
    <t>New Paris</t>
  </si>
  <si>
    <t>West Elkton</t>
  </si>
  <si>
    <t>Continental</t>
  </si>
  <si>
    <t>Dupont</t>
  </si>
  <si>
    <t>Fort Jennings</t>
  </si>
  <si>
    <t>Gilboa</t>
  </si>
  <si>
    <t>Glandorf</t>
  </si>
  <si>
    <t>Kalida</t>
  </si>
  <si>
    <t>Miller City</t>
  </si>
  <si>
    <t>Ottoville</t>
  </si>
  <si>
    <t>Bellville</t>
  </si>
  <si>
    <t>Plymouth</t>
  </si>
  <si>
    <t>Adelphi</t>
  </si>
  <si>
    <t>Ross</t>
  </si>
  <si>
    <t>Bainbridge</t>
  </si>
  <si>
    <t>Clarksburg</t>
  </si>
  <si>
    <t>Frankfort</t>
  </si>
  <si>
    <t>Kingston</t>
  </si>
  <si>
    <t>Gibsonburg</t>
  </si>
  <si>
    <t>Helena</t>
  </si>
  <si>
    <t>Lindsey</t>
  </si>
  <si>
    <t>Otway</t>
  </si>
  <si>
    <t>South Webster</t>
  </si>
  <si>
    <t>Attica</t>
  </si>
  <si>
    <t>Green Springs</t>
  </si>
  <si>
    <t>New Riegel</t>
  </si>
  <si>
    <t>Republic</t>
  </si>
  <si>
    <t>Anna</t>
  </si>
  <si>
    <t>Fort Loramie</t>
  </si>
  <si>
    <t>Jackson Center</t>
  </si>
  <si>
    <t>East Sparta</t>
  </si>
  <si>
    <t>Hills And Dales</t>
  </si>
  <si>
    <t>Limaville</t>
  </si>
  <si>
    <t>Meyers Lake</t>
  </si>
  <si>
    <t>Wilmot</t>
  </si>
  <si>
    <t>Reminderville</t>
  </si>
  <si>
    <t>Orangeville</t>
  </si>
  <si>
    <t>West Farmington</t>
  </si>
  <si>
    <t>Yankee Lake</t>
  </si>
  <si>
    <t>Dennison</t>
  </si>
  <si>
    <t>Midvale</t>
  </si>
  <si>
    <t>Mineral City</t>
  </si>
  <si>
    <t>Stone Creek</t>
  </si>
  <si>
    <t>Zoar</t>
  </si>
  <si>
    <t>Magnetic Springs</t>
  </si>
  <si>
    <t>Union</t>
  </si>
  <si>
    <t>Milford Center</t>
  </si>
  <si>
    <t>Richwood</t>
  </si>
  <si>
    <t>Unionville Center</t>
  </si>
  <si>
    <t>Convoy</t>
  </si>
  <si>
    <t>Middle Point</t>
  </si>
  <si>
    <t>Venedocia</t>
  </si>
  <si>
    <t>Wren</t>
  </si>
  <si>
    <t>Butlerville</t>
  </si>
  <si>
    <t>Harveysburg</t>
  </si>
  <si>
    <t>Maineville</t>
  </si>
  <si>
    <t>Pleasant Plain</t>
  </si>
  <si>
    <t>South Lebanon</t>
  </si>
  <si>
    <t>Lowell</t>
  </si>
  <si>
    <t>Lower Salem</t>
  </si>
  <si>
    <t>Matamoras</t>
  </si>
  <si>
    <t>Burbank</t>
  </si>
  <si>
    <t>Congress</t>
  </si>
  <si>
    <t>Mount Eaton</t>
  </si>
  <si>
    <t>West Salem</t>
  </si>
  <si>
    <t>Alvordton</t>
  </si>
  <si>
    <t>Blakeslee</t>
  </si>
  <si>
    <t>Edon</t>
  </si>
  <si>
    <t>West Unity</t>
  </si>
  <si>
    <t>Custar</t>
  </si>
  <si>
    <t>Cygnet</t>
  </si>
  <si>
    <t>Grand Rapids</t>
  </si>
  <si>
    <t>Haskins</t>
  </si>
  <si>
    <t>Hoytville</t>
  </si>
  <si>
    <t>Millbury</t>
  </si>
  <si>
    <t>Pemberville</t>
  </si>
  <si>
    <t>Risingsun</t>
  </si>
  <si>
    <t>Walbridge</t>
  </si>
  <si>
    <t>West Millgrove</t>
  </si>
  <si>
    <t>Weston</t>
  </si>
  <si>
    <t>Harpster</t>
  </si>
  <si>
    <t>Kirby</t>
  </si>
  <si>
    <t>Sycamore</t>
  </si>
  <si>
    <t>Holiday City</t>
  </si>
  <si>
    <t>South Bloomfield</t>
  </si>
  <si>
    <t>(1) May include income and other taxes if not reported separately</t>
  </si>
  <si>
    <t>(continued)</t>
  </si>
  <si>
    <t>Commercial Point</t>
  </si>
  <si>
    <t>Leipsic</t>
  </si>
  <si>
    <t>McClure</t>
  </si>
  <si>
    <t>McConnelsville</t>
  </si>
  <si>
    <t>McGuffey</t>
  </si>
  <si>
    <t>MccCnnelsville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</si>
</sst>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 wrapText="1"/>
    </xf>
    <xf numFmtId="37" fontId="5" fillId="0" borderId="0" xfId="0" applyNumberFormat="1" applyFont="1" applyBorder="1" applyAlignment="1">
      <alignment horizontal="center" wrapText="1"/>
    </xf>
    <xf numFmtId="37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Fill="1" applyAlignment="1">
      <alignment horizontal="right"/>
    </xf>
    <xf numFmtId="5" fontId="5" fillId="0" borderId="0" xfId="0" applyNumberFormat="1" applyFont="1" applyAlignment="1">
      <alignment/>
    </xf>
    <xf numFmtId="5" fontId="5" fillId="0" borderId="0" xfId="0" applyNumberFormat="1" applyFont="1" applyAlignment="1">
      <alignment horizontal="center" wrapText="1"/>
    </xf>
    <xf numFmtId="5" fontId="5" fillId="0" borderId="0" xfId="0" applyNumberFormat="1" applyFont="1" applyAlignment="1">
      <alignment horizontal="right" wrapText="1"/>
    </xf>
    <xf numFmtId="5" fontId="5" fillId="0" borderId="0" xfId="0" applyNumberFormat="1" applyFont="1" applyAlignment="1">
      <alignment horizontal="right"/>
    </xf>
    <xf numFmtId="5" fontId="5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1.7109375" style="1" customWidth="1"/>
    <col min="3" max="3" width="11.7109375" style="1" customWidth="1"/>
    <col min="4" max="4" width="1.7109375" style="0" customWidth="1"/>
    <col min="5" max="5" width="10.7109375" style="16" customWidth="1"/>
    <col min="6" max="6" width="1.7109375" style="16" customWidth="1"/>
    <col min="7" max="7" width="10.7109375" style="16" customWidth="1"/>
    <col min="8" max="8" width="0.9921875" style="16" customWidth="1"/>
    <col min="9" max="9" width="10.7109375" style="16" customWidth="1"/>
    <col min="10" max="10" width="1.7109375" style="16" customWidth="1"/>
    <col min="11" max="11" width="10.7109375" style="16" customWidth="1"/>
    <col min="12" max="12" width="1.7109375" style="16" customWidth="1"/>
    <col min="13" max="13" width="10.7109375" style="16" customWidth="1"/>
    <col min="14" max="14" width="1.57421875" style="16" customWidth="1"/>
    <col min="15" max="15" width="10.7109375" style="16" customWidth="1"/>
    <col min="16" max="16" width="1.421875" style="16" customWidth="1"/>
    <col min="17" max="17" width="10.7109375" style="16" customWidth="1"/>
    <col min="18" max="18" width="1.7109375" style="16" customWidth="1"/>
    <col min="19" max="19" width="10.7109375" style="16" customWidth="1"/>
    <col min="20" max="20" width="1.7109375" style="16" customWidth="1"/>
    <col min="21" max="21" width="10.7109375" style="16" customWidth="1"/>
    <col min="22" max="22" width="1.7109375" style="16" customWidth="1"/>
    <col min="23" max="23" width="10.7109375" style="16" customWidth="1"/>
    <col min="24" max="24" width="1.7109375" style="16" customWidth="1"/>
    <col min="25" max="25" width="10.7109375" style="16" customWidth="1"/>
    <col min="26" max="26" width="1.7109375" style="16" customWidth="1"/>
    <col min="27" max="27" width="10.7109375" style="20" customWidth="1"/>
    <col min="28" max="28" width="1.7109375" style="20" customWidth="1"/>
    <col min="29" max="29" width="10.7109375" style="20" customWidth="1"/>
    <col min="30" max="30" width="1.7109375" style="20" customWidth="1"/>
    <col min="31" max="42" width="10.7109375" style="20" customWidth="1"/>
    <col min="43" max="44" width="9.7109375" style="20" customWidth="1"/>
    <col min="45" max="45" width="10.7109375" style="2" hidden="1" customWidth="1"/>
    <col min="46" max="48" width="0" style="2" hidden="1" customWidth="1"/>
    <col min="49" max="16384" width="0" style="1" hidden="1" customWidth="1"/>
  </cols>
  <sheetData>
    <row r="1" ht="12.75" customHeight="1">
      <c r="A1" s="6" t="s">
        <v>57</v>
      </c>
    </row>
    <row r="2" ht="12.75" customHeight="1">
      <c r="A2" s="6" t="s">
        <v>60</v>
      </c>
    </row>
    <row r="3" spans="1:44" ht="12.75" customHeight="1">
      <c r="A3" s="28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6" ht="12.75" customHeight="1">
      <c r="A4" s="6" t="s">
        <v>785</v>
      </c>
      <c r="D4" s="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"/>
      <c r="AT4" s="1"/>
    </row>
    <row r="5" spans="1:46" ht="12.75" customHeight="1">
      <c r="A5" s="12"/>
      <c r="B5" s="6"/>
      <c r="C5" s="5"/>
      <c r="D5" s="1"/>
      <c r="E5" s="22" t="s">
        <v>58</v>
      </c>
      <c r="F5" s="22"/>
      <c r="O5" s="22" t="s">
        <v>41</v>
      </c>
      <c r="AA5" s="16"/>
      <c r="AB5" s="16"/>
      <c r="AC5" s="22" t="s">
        <v>54</v>
      </c>
      <c r="AD5" s="16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  <c r="AR5" s="16"/>
      <c r="AS5" s="1"/>
      <c r="AT5" s="1"/>
    </row>
    <row r="6" spans="2:46" ht="12.75" customHeight="1">
      <c r="B6" s="6"/>
      <c r="C6" s="5"/>
      <c r="D6" s="1"/>
      <c r="E6" s="22" t="s">
        <v>34</v>
      </c>
      <c r="F6" s="22"/>
      <c r="G6" s="22" t="s">
        <v>36</v>
      </c>
      <c r="H6" s="22"/>
      <c r="I6" s="22" t="s">
        <v>38</v>
      </c>
      <c r="K6" s="22" t="s">
        <v>46</v>
      </c>
      <c r="M6" s="22" t="s">
        <v>39</v>
      </c>
      <c r="O6" s="22" t="s">
        <v>40</v>
      </c>
      <c r="Q6" s="22" t="s">
        <v>42</v>
      </c>
      <c r="U6" s="22" t="s">
        <v>56</v>
      </c>
      <c r="W6" s="22" t="s">
        <v>43</v>
      </c>
      <c r="AA6" s="16"/>
      <c r="AB6" s="16"/>
      <c r="AC6" s="22" t="s">
        <v>44</v>
      </c>
      <c r="AD6" s="16"/>
      <c r="AE6" s="22" t="s">
        <v>50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16"/>
      <c r="AR6" s="16"/>
      <c r="AS6" s="1"/>
      <c r="AT6" s="1"/>
    </row>
    <row r="7" spans="1:46" ht="12.75" customHeight="1">
      <c r="A7" s="13" t="s">
        <v>9</v>
      </c>
      <c r="C7" s="13" t="s">
        <v>8</v>
      </c>
      <c r="D7" s="1"/>
      <c r="E7" s="23" t="s">
        <v>33</v>
      </c>
      <c r="F7" s="24"/>
      <c r="G7" s="23" t="s">
        <v>35</v>
      </c>
      <c r="H7" s="24"/>
      <c r="I7" s="25" t="s">
        <v>37</v>
      </c>
      <c r="J7" s="18"/>
      <c r="K7" s="25" t="s">
        <v>47</v>
      </c>
      <c r="L7" s="18"/>
      <c r="M7" s="25" t="s">
        <v>19</v>
      </c>
      <c r="N7" s="18"/>
      <c r="O7" s="25" t="s">
        <v>48</v>
      </c>
      <c r="P7" s="18"/>
      <c r="Q7" s="25" t="s">
        <v>49</v>
      </c>
      <c r="R7" s="18"/>
      <c r="S7" s="17" t="s">
        <v>3</v>
      </c>
      <c r="T7" s="18"/>
      <c r="U7" s="25" t="s">
        <v>52</v>
      </c>
      <c r="V7" s="18"/>
      <c r="W7" s="25" t="s">
        <v>61</v>
      </c>
      <c r="X7" s="18"/>
      <c r="Y7" s="17" t="s">
        <v>5</v>
      </c>
      <c r="Z7" s="18"/>
      <c r="AA7" s="17" t="s">
        <v>53</v>
      </c>
      <c r="AB7" s="18"/>
      <c r="AC7" s="25" t="s">
        <v>45</v>
      </c>
      <c r="AD7" s="18"/>
      <c r="AE7" s="25" t="s">
        <v>51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18"/>
      <c r="AR7" s="18"/>
      <c r="AS7" s="1"/>
      <c r="AT7" s="1"/>
    </row>
    <row r="8" spans="1:31" ht="12.75" customHeight="1">
      <c r="A8" s="1" t="s">
        <v>472</v>
      </c>
      <c r="C8" s="1" t="s">
        <v>246</v>
      </c>
      <c r="E8" s="36">
        <v>162828</v>
      </c>
      <c r="F8" s="36"/>
      <c r="G8" s="36">
        <v>0</v>
      </c>
      <c r="H8" s="36"/>
      <c r="I8" s="36">
        <v>17638</v>
      </c>
      <c r="J8" s="36"/>
      <c r="K8" s="36">
        <v>0</v>
      </c>
      <c r="L8" s="36"/>
      <c r="M8" s="36">
        <v>108385</v>
      </c>
      <c r="N8" s="36"/>
      <c r="O8" s="36">
        <v>44743</v>
      </c>
      <c r="P8" s="36"/>
      <c r="Q8" s="36">
        <v>2355</v>
      </c>
      <c r="R8" s="36"/>
      <c r="S8" s="36">
        <v>11982</v>
      </c>
      <c r="T8" s="36"/>
      <c r="U8" s="36">
        <v>0</v>
      </c>
      <c r="V8" s="36"/>
      <c r="W8" s="36">
        <v>0</v>
      </c>
      <c r="X8" s="36"/>
      <c r="Y8" s="36">
        <v>0</v>
      </c>
      <c r="Z8" s="36"/>
      <c r="AA8" s="36">
        <v>0</v>
      </c>
      <c r="AB8" s="37"/>
      <c r="AC8" s="36">
        <v>429</v>
      </c>
      <c r="AD8" s="37"/>
      <c r="AE8" s="38">
        <f aca="true" t="shared" si="0" ref="AE8:AE71">SUM(E8:AC8)</f>
        <v>348360</v>
      </c>
    </row>
    <row r="9" spans="1:31" ht="12.75" customHeight="1">
      <c r="A9" s="1" t="s">
        <v>64</v>
      </c>
      <c r="C9" s="1" t="s">
        <v>65</v>
      </c>
      <c r="D9" s="16"/>
      <c r="E9" s="16">
        <v>57441</v>
      </c>
      <c r="G9" s="16">
        <v>764157</v>
      </c>
      <c r="I9" s="16">
        <v>201066</v>
      </c>
      <c r="K9" s="16">
        <v>82950</v>
      </c>
      <c r="M9" s="16">
        <v>14766</v>
      </c>
      <c r="O9" s="16">
        <v>27422</v>
      </c>
      <c r="Q9" s="16">
        <v>34013</v>
      </c>
      <c r="S9" s="16">
        <v>50294</v>
      </c>
      <c r="U9" s="16">
        <v>0</v>
      </c>
      <c r="W9" s="16">
        <v>0</v>
      </c>
      <c r="Y9" s="16">
        <v>977707</v>
      </c>
      <c r="AA9" s="16">
        <v>0</v>
      </c>
      <c r="AC9" s="16">
        <v>0</v>
      </c>
      <c r="AE9" s="32">
        <f t="shared" si="0"/>
        <v>2209816</v>
      </c>
    </row>
    <row r="10" spans="1:31" ht="12.75" customHeight="1">
      <c r="A10" s="1" t="s">
        <v>66</v>
      </c>
      <c r="C10" s="1" t="s">
        <v>67</v>
      </c>
      <c r="D10" s="16"/>
      <c r="E10" s="16">
        <v>3051</v>
      </c>
      <c r="G10" s="16">
        <v>0</v>
      </c>
      <c r="I10" s="16">
        <v>6483</v>
      </c>
      <c r="K10" s="16">
        <v>0</v>
      </c>
      <c r="M10" s="16">
        <v>0</v>
      </c>
      <c r="O10" s="16">
        <v>0</v>
      </c>
      <c r="Q10" s="16">
        <v>14</v>
      </c>
      <c r="S10" s="16">
        <v>1240</v>
      </c>
      <c r="U10" s="16">
        <v>0</v>
      </c>
      <c r="W10" s="16">
        <v>0</v>
      </c>
      <c r="Y10" s="16">
        <v>0</v>
      </c>
      <c r="AA10" s="16">
        <v>0</v>
      </c>
      <c r="AC10" s="16">
        <v>0</v>
      </c>
      <c r="AE10" s="32">
        <f t="shared" si="0"/>
        <v>10788</v>
      </c>
    </row>
    <row r="11" spans="1:31" ht="12.75" customHeight="1">
      <c r="A11" s="1" t="s">
        <v>563</v>
      </c>
      <c r="C11" s="1" t="s">
        <v>73</v>
      </c>
      <c r="E11" s="16">
        <v>148694</v>
      </c>
      <c r="G11" s="16">
        <v>409357</v>
      </c>
      <c r="I11" s="16">
        <v>36898</v>
      </c>
      <c r="K11" s="16">
        <v>0</v>
      </c>
      <c r="M11" s="16">
        <v>40071</v>
      </c>
      <c r="O11" s="16">
        <v>77140</v>
      </c>
      <c r="Q11" s="16">
        <v>1907</v>
      </c>
      <c r="S11" s="16">
        <v>0</v>
      </c>
      <c r="U11" s="16">
        <v>0</v>
      </c>
      <c r="W11" s="16">
        <v>0</v>
      </c>
      <c r="Y11" s="16">
        <v>0</v>
      </c>
      <c r="AA11" s="16">
        <v>0</v>
      </c>
      <c r="AC11" s="16">
        <v>0</v>
      </c>
      <c r="AE11" s="32">
        <f t="shared" si="0"/>
        <v>714067</v>
      </c>
    </row>
    <row r="12" spans="1:31" ht="12.75" customHeight="1">
      <c r="A12" s="1" t="s">
        <v>711</v>
      </c>
      <c r="C12" s="1" t="s">
        <v>712</v>
      </c>
      <c r="E12" s="16">
        <v>6022</v>
      </c>
      <c r="G12" s="16">
        <v>0</v>
      </c>
      <c r="I12" s="16">
        <v>37578</v>
      </c>
      <c r="K12" s="16">
        <v>0</v>
      </c>
      <c r="M12" s="16">
        <v>0</v>
      </c>
      <c r="O12" s="16">
        <v>3216</v>
      </c>
      <c r="Q12" s="16">
        <v>1281</v>
      </c>
      <c r="S12" s="16">
        <v>3962</v>
      </c>
      <c r="U12" s="16">
        <v>0</v>
      </c>
      <c r="W12" s="16">
        <v>0</v>
      </c>
      <c r="Y12" s="16">
        <v>0</v>
      </c>
      <c r="AA12" s="16">
        <v>500</v>
      </c>
      <c r="AC12" s="16">
        <v>0</v>
      </c>
      <c r="AE12" s="32">
        <f t="shared" si="0"/>
        <v>52559</v>
      </c>
    </row>
    <row r="13" spans="1:31" ht="12.75" customHeight="1">
      <c r="A13" s="1" t="s">
        <v>68</v>
      </c>
      <c r="C13" s="1" t="s">
        <v>69</v>
      </c>
      <c r="D13" s="16"/>
      <c r="E13" s="16">
        <v>28114</v>
      </c>
      <c r="G13" s="16">
        <v>0</v>
      </c>
      <c r="I13" s="16">
        <v>31906</v>
      </c>
      <c r="K13" s="16">
        <v>0</v>
      </c>
      <c r="M13" s="16">
        <v>0</v>
      </c>
      <c r="O13" s="16">
        <v>6274</v>
      </c>
      <c r="Q13" s="16">
        <v>0</v>
      </c>
      <c r="S13" s="16">
        <v>13875</v>
      </c>
      <c r="U13" s="16">
        <v>0</v>
      </c>
      <c r="W13" s="16">
        <v>0</v>
      </c>
      <c r="Y13" s="16">
        <v>3393</v>
      </c>
      <c r="AA13" s="16">
        <v>0</v>
      </c>
      <c r="AC13" s="16">
        <v>0</v>
      </c>
      <c r="AE13" s="32">
        <f t="shared" si="0"/>
        <v>83562</v>
      </c>
    </row>
    <row r="14" spans="1:31" ht="12.75" customHeight="1">
      <c r="A14" s="1" t="s">
        <v>70</v>
      </c>
      <c r="C14" s="1" t="s">
        <v>71</v>
      </c>
      <c r="D14" s="16"/>
      <c r="E14" s="16">
        <v>21827</v>
      </c>
      <c r="G14" s="16">
        <v>0</v>
      </c>
      <c r="I14" s="16">
        <v>22555</v>
      </c>
      <c r="K14" s="16">
        <v>0</v>
      </c>
      <c r="M14" s="16">
        <v>9413</v>
      </c>
      <c r="O14" s="16">
        <v>3948</v>
      </c>
      <c r="Q14" s="16">
        <v>2887</v>
      </c>
      <c r="S14" s="16">
        <v>7919</v>
      </c>
      <c r="U14" s="16">
        <v>0</v>
      </c>
      <c r="W14" s="16">
        <v>0</v>
      </c>
      <c r="Y14" s="16">
        <v>0</v>
      </c>
      <c r="AA14" s="16">
        <v>36096</v>
      </c>
      <c r="AC14" s="16">
        <v>0</v>
      </c>
      <c r="AE14" s="32">
        <f t="shared" si="0"/>
        <v>104645</v>
      </c>
    </row>
    <row r="15" spans="1:31" ht="12.75" customHeight="1">
      <c r="A15" s="1" t="s">
        <v>612</v>
      </c>
      <c r="C15" s="1" t="s">
        <v>231</v>
      </c>
      <c r="E15" s="16">
        <v>27019</v>
      </c>
      <c r="G15" s="16">
        <v>0</v>
      </c>
      <c r="I15" s="16">
        <v>35583</v>
      </c>
      <c r="K15" s="16">
        <v>591</v>
      </c>
      <c r="M15" s="16">
        <v>0</v>
      </c>
      <c r="O15" s="16">
        <v>66319</v>
      </c>
      <c r="Q15" s="16">
        <v>1085</v>
      </c>
      <c r="S15" s="16">
        <v>2228</v>
      </c>
      <c r="U15" s="16">
        <v>0</v>
      </c>
      <c r="W15" s="16">
        <v>0</v>
      </c>
      <c r="Y15" s="16">
        <v>0</v>
      </c>
      <c r="AA15" s="16">
        <v>0</v>
      </c>
      <c r="AC15" s="16">
        <v>61</v>
      </c>
      <c r="AE15" s="32">
        <f t="shared" si="0"/>
        <v>132886</v>
      </c>
    </row>
    <row r="16" spans="1:31" ht="12.75" customHeight="1">
      <c r="A16" s="1" t="s">
        <v>764</v>
      </c>
      <c r="C16" s="1" t="s">
        <v>190</v>
      </c>
      <c r="E16" s="16">
        <v>2810</v>
      </c>
      <c r="G16" s="16">
        <v>24721</v>
      </c>
      <c r="I16" s="16">
        <v>18755</v>
      </c>
      <c r="K16" s="16">
        <v>0</v>
      </c>
      <c r="M16" s="16">
        <v>0</v>
      </c>
      <c r="O16" s="16">
        <v>1803</v>
      </c>
      <c r="Q16" s="16">
        <v>166</v>
      </c>
      <c r="S16" s="16">
        <v>1293</v>
      </c>
      <c r="U16" s="16">
        <v>0</v>
      </c>
      <c r="W16" s="16">
        <v>0</v>
      </c>
      <c r="Y16" s="16">
        <v>0</v>
      </c>
      <c r="AA16" s="16">
        <v>0</v>
      </c>
      <c r="AC16" s="16">
        <v>0</v>
      </c>
      <c r="AE16" s="32">
        <f t="shared" si="0"/>
        <v>49548</v>
      </c>
    </row>
    <row r="17" spans="1:31" ht="12.75" customHeight="1">
      <c r="A17" s="1" t="s">
        <v>530</v>
      </c>
      <c r="C17" s="1" t="s">
        <v>98</v>
      </c>
      <c r="E17" s="16">
        <v>73310</v>
      </c>
      <c r="G17" s="16">
        <v>0</v>
      </c>
      <c r="I17" s="16">
        <v>32040</v>
      </c>
      <c r="K17" s="16">
        <v>0</v>
      </c>
      <c r="M17" s="16">
        <v>54283</v>
      </c>
      <c r="O17" s="16">
        <v>119</v>
      </c>
      <c r="Q17" s="16">
        <v>3533</v>
      </c>
      <c r="S17" s="16">
        <v>2979</v>
      </c>
      <c r="U17" s="16">
        <v>0</v>
      </c>
      <c r="W17" s="16">
        <v>0</v>
      </c>
      <c r="Y17" s="16">
        <v>0</v>
      </c>
      <c r="AA17" s="16">
        <v>0</v>
      </c>
      <c r="AC17" s="16">
        <v>4728</v>
      </c>
      <c r="AE17" s="32">
        <f t="shared" si="0"/>
        <v>170992</v>
      </c>
    </row>
    <row r="18" spans="1:31" ht="12.75" customHeight="1">
      <c r="A18" s="1" t="s">
        <v>72</v>
      </c>
      <c r="C18" s="1" t="s">
        <v>73</v>
      </c>
      <c r="D18" s="16"/>
      <c r="E18" s="16">
        <v>1076858</v>
      </c>
      <c r="G18" s="16">
        <v>0</v>
      </c>
      <c r="I18" s="16">
        <v>552904</v>
      </c>
      <c r="K18" s="16">
        <v>0</v>
      </c>
      <c r="M18" s="16">
        <v>0</v>
      </c>
      <c r="O18" s="16">
        <v>697</v>
      </c>
      <c r="Q18" s="16">
        <v>184647</v>
      </c>
      <c r="S18" s="16">
        <v>175219</v>
      </c>
      <c r="U18" s="16">
        <v>0</v>
      </c>
      <c r="W18" s="16">
        <v>0</v>
      </c>
      <c r="Y18" s="16">
        <v>2000000</v>
      </c>
      <c r="AA18" s="16">
        <v>0</v>
      </c>
      <c r="AC18" s="16">
        <v>0</v>
      </c>
      <c r="AE18" s="32">
        <f t="shared" si="0"/>
        <v>3990325</v>
      </c>
    </row>
    <row r="19" spans="1:31" ht="12.75" customHeight="1">
      <c r="A19" s="1" t="s">
        <v>492</v>
      </c>
      <c r="C19" s="1" t="s">
        <v>102</v>
      </c>
      <c r="E19" s="16">
        <v>144434</v>
      </c>
      <c r="G19" s="16">
        <v>0</v>
      </c>
      <c r="I19" s="16">
        <v>131880</v>
      </c>
      <c r="K19" s="16">
        <v>0</v>
      </c>
      <c r="M19" s="16">
        <v>11973</v>
      </c>
      <c r="O19" s="16">
        <v>143793</v>
      </c>
      <c r="Q19" s="16">
        <v>1072</v>
      </c>
      <c r="S19" s="16">
        <v>5997</v>
      </c>
      <c r="U19" s="16">
        <v>0</v>
      </c>
      <c r="W19" s="16">
        <v>0</v>
      </c>
      <c r="Y19" s="16">
        <v>0</v>
      </c>
      <c r="AA19" s="16">
        <v>10440</v>
      </c>
      <c r="AC19" s="16">
        <v>0</v>
      </c>
      <c r="AE19" s="32">
        <f t="shared" si="0"/>
        <v>449589</v>
      </c>
    </row>
    <row r="20" spans="1:31" ht="12.75" customHeight="1">
      <c r="A20" s="1" t="s">
        <v>458</v>
      </c>
      <c r="C20" s="1" t="s">
        <v>71</v>
      </c>
      <c r="E20" s="16">
        <v>12923</v>
      </c>
      <c r="G20" s="16">
        <v>0</v>
      </c>
      <c r="I20" s="16">
        <v>4637</v>
      </c>
      <c r="K20" s="16">
        <v>0</v>
      </c>
      <c r="M20" s="16">
        <v>0</v>
      </c>
      <c r="O20" s="16">
        <v>1757</v>
      </c>
      <c r="Q20" s="16">
        <v>903</v>
      </c>
      <c r="S20" s="16">
        <v>1676</v>
      </c>
      <c r="U20" s="16">
        <v>0</v>
      </c>
      <c r="W20" s="16">
        <v>0</v>
      </c>
      <c r="Y20" s="16">
        <v>0</v>
      </c>
      <c r="AA20" s="16">
        <v>0</v>
      </c>
      <c r="AC20" s="16">
        <v>0</v>
      </c>
      <c r="AE20" s="32">
        <f t="shared" si="0"/>
        <v>21896</v>
      </c>
    </row>
    <row r="21" spans="1:31" ht="12.75" customHeight="1">
      <c r="A21" s="1" t="s">
        <v>74</v>
      </c>
      <c r="C21" s="1" t="s">
        <v>69</v>
      </c>
      <c r="D21" s="16"/>
      <c r="E21" s="16">
        <v>19447</v>
      </c>
      <c r="G21" s="16">
        <v>0</v>
      </c>
      <c r="I21" s="16">
        <v>22987</v>
      </c>
      <c r="K21" s="16">
        <v>0</v>
      </c>
      <c r="M21" s="16">
        <v>0</v>
      </c>
      <c r="O21" s="16">
        <v>9313</v>
      </c>
      <c r="Q21" s="16">
        <v>21</v>
      </c>
      <c r="S21" s="16">
        <v>5180</v>
      </c>
      <c r="U21" s="16">
        <v>0</v>
      </c>
      <c r="W21" s="16">
        <v>40800</v>
      </c>
      <c r="Y21" s="16">
        <v>0</v>
      </c>
      <c r="AA21" s="16">
        <v>0</v>
      </c>
      <c r="AC21" s="16">
        <v>0</v>
      </c>
      <c r="AE21" s="32">
        <f t="shared" si="0"/>
        <v>97748</v>
      </c>
    </row>
    <row r="22" spans="1:31" ht="12.75" customHeight="1">
      <c r="A22" s="1" t="s">
        <v>75</v>
      </c>
      <c r="C22" s="30" t="s">
        <v>76</v>
      </c>
      <c r="D22" s="1"/>
      <c r="E22" s="16">
        <v>104065</v>
      </c>
      <c r="G22" s="16">
        <v>129307</v>
      </c>
      <c r="I22" s="16">
        <v>76252</v>
      </c>
      <c r="K22" s="16">
        <v>0</v>
      </c>
      <c r="M22" s="16">
        <v>1385</v>
      </c>
      <c r="O22" s="16">
        <v>6670</v>
      </c>
      <c r="Q22" s="16">
        <v>27504</v>
      </c>
      <c r="S22" s="16">
        <v>750</v>
      </c>
      <c r="U22" s="16">
        <v>0</v>
      </c>
      <c r="W22" s="16">
        <v>0</v>
      </c>
      <c r="Y22" s="16">
        <v>0</v>
      </c>
      <c r="AA22" s="16">
        <v>0</v>
      </c>
      <c r="AC22" s="16">
        <v>0</v>
      </c>
      <c r="AE22" s="32">
        <f t="shared" si="0"/>
        <v>345933</v>
      </c>
    </row>
    <row r="23" spans="1:31" ht="12.75" customHeight="1">
      <c r="A23" s="1" t="s">
        <v>726</v>
      </c>
      <c r="C23" s="1" t="s">
        <v>131</v>
      </c>
      <c r="E23" s="16">
        <v>26706</v>
      </c>
      <c r="G23" s="16">
        <v>0</v>
      </c>
      <c r="I23" s="16">
        <v>70847</v>
      </c>
      <c r="K23" s="16">
        <v>0</v>
      </c>
      <c r="M23" s="16">
        <v>0</v>
      </c>
      <c r="O23" s="16">
        <v>29493</v>
      </c>
      <c r="Q23" s="16">
        <v>6623</v>
      </c>
      <c r="S23" s="16">
        <v>8269</v>
      </c>
      <c r="U23" s="16">
        <v>0</v>
      </c>
      <c r="W23" s="16">
        <v>0</v>
      </c>
      <c r="Y23" s="16">
        <v>151792</v>
      </c>
      <c r="AA23" s="16">
        <v>0</v>
      </c>
      <c r="AC23" s="16">
        <v>0</v>
      </c>
      <c r="AE23" s="32">
        <f t="shared" si="0"/>
        <v>293730</v>
      </c>
    </row>
    <row r="24" spans="1:31" ht="12.75" customHeight="1">
      <c r="A24" s="1" t="s">
        <v>77</v>
      </c>
      <c r="C24" s="1" t="s">
        <v>78</v>
      </c>
      <c r="D24" s="16"/>
      <c r="E24" s="16">
        <v>69888</v>
      </c>
      <c r="G24" s="16">
        <v>157066</v>
      </c>
      <c r="I24" s="16">
        <v>83103</v>
      </c>
      <c r="K24" s="16">
        <v>7213</v>
      </c>
      <c r="M24" s="16">
        <v>5000</v>
      </c>
      <c r="O24" s="16">
        <v>420</v>
      </c>
      <c r="Q24" s="16">
        <v>2242</v>
      </c>
      <c r="S24" s="16">
        <v>11503</v>
      </c>
      <c r="U24" s="16">
        <v>110000</v>
      </c>
      <c r="W24" s="16">
        <v>0</v>
      </c>
      <c r="Y24" s="16">
        <v>0</v>
      </c>
      <c r="AA24" s="16">
        <v>0</v>
      </c>
      <c r="AC24" s="16">
        <v>0</v>
      </c>
      <c r="AE24" s="32">
        <f t="shared" si="0"/>
        <v>446435</v>
      </c>
    </row>
    <row r="25" spans="1:31" ht="12.75" customHeight="1">
      <c r="A25" s="1" t="s">
        <v>79</v>
      </c>
      <c r="C25" s="1" t="s">
        <v>80</v>
      </c>
      <c r="D25" s="16"/>
      <c r="E25" s="16">
        <v>4828</v>
      </c>
      <c r="G25" s="16">
        <v>0</v>
      </c>
      <c r="I25" s="16">
        <v>4986</v>
      </c>
      <c r="K25" s="16">
        <v>0</v>
      </c>
      <c r="M25" s="16">
        <v>0</v>
      </c>
      <c r="O25" s="16">
        <v>0</v>
      </c>
      <c r="Q25" s="16">
        <v>0</v>
      </c>
      <c r="S25" s="16">
        <v>0</v>
      </c>
      <c r="U25" s="16">
        <v>0</v>
      </c>
      <c r="W25" s="16">
        <v>0</v>
      </c>
      <c r="Y25" s="16">
        <v>0</v>
      </c>
      <c r="AA25" s="16">
        <v>0</v>
      </c>
      <c r="AC25" s="16">
        <v>0</v>
      </c>
      <c r="AE25" s="32">
        <f t="shared" si="0"/>
        <v>9814</v>
      </c>
    </row>
    <row r="26" spans="1:31" ht="12.75" customHeight="1">
      <c r="A26" s="1" t="s">
        <v>81</v>
      </c>
      <c r="C26" s="1" t="s">
        <v>82</v>
      </c>
      <c r="D26" s="16"/>
      <c r="E26" s="16">
        <v>59276</v>
      </c>
      <c r="G26" s="16">
        <v>0</v>
      </c>
      <c r="I26" s="16">
        <v>49091</v>
      </c>
      <c r="K26" s="16">
        <v>0</v>
      </c>
      <c r="M26" s="16">
        <v>0</v>
      </c>
      <c r="O26" s="16">
        <v>61337</v>
      </c>
      <c r="Q26" s="16">
        <v>2878</v>
      </c>
      <c r="S26" s="16">
        <v>354</v>
      </c>
      <c r="U26" s="16">
        <v>0</v>
      </c>
      <c r="W26" s="16">
        <v>0</v>
      </c>
      <c r="Y26" s="16">
        <v>0</v>
      </c>
      <c r="AA26" s="16">
        <v>0</v>
      </c>
      <c r="AC26" s="16">
        <v>0</v>
      </c>
      <c r="AE26" s="32">
        <f t="shared" si="0"/>
        <v>172936</v>
      </c>
    </row>
    <row r="27" spans="1:31" ht="12.75" customHeight="1">
      <c r="A27" s="1" t="s">
        <v>83</v>
      </c>
      <c r="C27" s="1" t="s">
        <v>84</v>
      </c>
      <c r="D27" s="16"/>
      <c r="E27" s="16">
        <v>44954</v>
      </c>
      <c r="G27" s="16">
        <v>233128</v>
      </c>
      <c r="I27" s="16">
        <v>36197</v>
      </c>
      <c r="K27" s="16">
        <v>0</v>
      </c>
      <c r="M27" s="16">
        <v>0</v>
      </c>
      <c r="O27" s="16">
        <v>0</v>
      </c>
      <c r="Q27" s="16">
        <v>17678</v>
      </c>
      <c r="S27" s="16">
        <v>15331</v>
      </c>
      <c r="U27" s="16">
        <v>0</v>
      </c>
      <c r="W27" s="16">
        <v>0</v>
      </c>
      <c r="Y27" s="16">
        <v>0</v>
      </c>
      <c r="AA27" s="16">
        <v>0</v>
      </c>
      <c r="AC27" s="16">
        <v>0</v>
      </c>
      <c r="AE27" s="32">
        <f t="shared" si="0"/>
        <v>347288</v>
      </c>
    </row>
    <row r="28" spans="1:31" ht="12.75" customHeight="1">
      <c r="A28" s="1" t="s">
        <v>571</v>
      </c>
      <c r="C28" s="1" t="s">
        <v>114</v>
      </c>
      <c r="E28" s="16">
        <v>36494</v>
      </c>
      <c r="G28" s="16">
        <v>0</v>
      </c>
      <c r="I28" s="16">
        <v>51371</v>
      </c>
      <c r="K28" s="16">
        <v>0</v>
      </c>
      <c r="M28" s="16">
        <v>0</v>
      </c>
      <c r="O28" s="16">
        <v>225</v>
      </c>
      <c r="Q28" s="16">
        <v>7412</v>
      </c>
      <c r="S28" s="16">
        <v>166692</v>
      </c>
      <c r="U28" s="16">
        <v>0</v>
      </c>
      <c r="W28" s="16">
        <v>0</v>
      </c>
      <c r="Y28" s="16">
        <v>0</v>
      </c>
      <c r="AA28" s="16">
        <v>0</v>
      </c>
      <c r="AC28" s="16">
        <v>0</v>
      </c>
      <c r="AE28" s="32">
        <f t="shared" si="0"/>
        <v>262194</v>
      </c>
    </row>
    <row r="29" spans="1:31" ht="12.75" customHeight="1">
      <c r="A29" s="1" t="s">
        <v>85</v>
      </c>
      <c r="C29" s="1" t="s">
        <v>78</v>
      </c>
      <c r="D29" s="16"/>
      <c r="E29" s="16">
        <v>62461</v>
      </c>
      <c r="G29" s="16">
        <v>234228</v>
      </c>
      <c r="I29" s="16">
        <v>231952</v>
      </c>
      <c r="K29" s="16">
        <v>0</v>
      </c>
      <c r="M29" s="16">
        <v>1675</v>
      </c>
      <c r="O29" s="16">
        <v>735</v>
      </c>
      <c r="Q29" s="16">
        <v>17677</v>
      </c>
      <c r="S29" s="16">
        <v>16187</v>
      </c>
      <c r="U29" s="16">
        <v>0</v>
      </c>
      <c r="W29" s="16">
        <v>0</v>
      </c>
      <c r="Y29" s="16">
        <v>0</v>
      </c>
      <c r="AA29" s="16">
        <v>0</v>
      </c>
      <c r="AC29" s="16">
        <v>0</v>
      </c>
      <c r="AE29" s="32">
        <f t="shared" si="0"/>
        <v>564915</v>
      </c>
    </row>
    <row r="30" spans="1:31" ht="12.75" customHeight="1">
      <c r="A30" s="1" t="s">
        <v>86</v>
      </c>
      <c r="C30" s="1" t="s">
        <v>87</v>
      </c>
      <c r="D30" s="16"/>
      <c r="E30" s="16">
        <v>834008</v>
      </c>
      <c r="G30" s="16">
        <v>3914752</v>
      </c>
      <c r="I30" s="16">
        <v>298088</v>
      </c>
      <c r="K30" s="16">
        <v>0</v>
      </c>
      <c r="M30" s="16">
        <v>486682</v>
      </c>
      <c r="O30" s="16">
        <v>14801</v>
      </c>
      <c r="Q30" s="16">
        <v>23921</v>
      </c>
      <c r="S30" s="16">
        <v>38122</v>
      </c>
      <c r="U30" s="16">
        <v>0</v>
      </c>
      <c r="W30" s="16">
        <v>0</v>
      </c>
      <c r="Y30" s="16">
        <v>0</v>
      </c>
      <c r="AA30" s="16">
        <v>350</v>
      </c>
      <c r="AC30" s="16">
        <v>319429</v>
      </c>
      <c r="AE30" s="32">
        <f t="shared" si="0"/>
        <v>5930153</v>
      </c>
    </row>
    <row r="31" spans="1:31" ht="12.75" customHeight="1">
      <c r="A31" s="1" t="s">
        <v>572</v>
      </c>
      <c r="C31" s="1" t="s">
        <v>114</v>
      </c>
      <c r="E31" s="16">
        <v>58288</v>
      </c>
      <c r="G31" s="16">
        <v>129168</v>
      </c>
      <c r="I31" s="16">
        <v>62266</v>
      </c>
      <c r="K31" s="16">
        <v>0</v>
      </c>
      <c r="M31" s="16">
        <v>0</v>
      </c>
      <c r="O31" s="16">
        <v>3072</v>
      </c>
      <c r="Q31" s="16">
        <v>21747</v>
      </c>
      <c r="S31" s="16">
        <v>0</v>
      </c>
      <c r="U31" s="16">
        <v>0</v>
      </c>
      <c r="W31" s="16">
        <v>0</v>
      </c>
      <c r="Y31" s="16">
        <v>0</v>
      </c>
      <c r="AA31" s="16">
        <v>4200</v>
      </c>
      <c r="AC31" s="16">
        <v>167</v>
      </c>
      <c r="AE31" s="32">
        <f t="shared" si="0"/>
        <v>278908</v>
      </c>
    </row>
    <row r="32" spans="1:31" ht="12.75" customHeight="1">
      <c r="A32" s="1" t="s">
        <v>88</v>
      </c>
      <c r="C32" s="1" t="s">
        <v>73</v>
      </c>
      <c r="D32" s="16"/>
      <c r="E32" s="16">
        <v>484378</v>
      </c>
      <c r="G32" s="16">
        <v>0</v>
      </c>
      <c r="I32" s="16">
        <v>8616</v>
      </c>
      <c r="K32" s="16">
        <v>0</v>
      </c>
      <c r="M32" s="16">
        <v>0</v>
      </c>
      <c r="O32" s="16">
        <v>148816</v>
      </c>
      <c r="Q32" s="16">
        <v>0</v>
      </c>
      <c r="S32" s="16">
        <v>45365</v>
      </c>
      <c r="U32" s="16">
        <v>0</v>
      </c>
      <c r="W32" s="16">
        <v>0</v>
      </c>
      <c r="Y32" s="16">
        <v>0</v>
      </c>
      <c r="AA32" s="16">
        <v>0</v>
      </c>
      <c r="AC32" s="16">
        <v>0</v>
      </c>
      <c r="AE32" s="32">
        <f t="shared" si="0"/>
        <v>687175</v>
      </c>
    </row>
    <row r="33" spans="1:31" ht="12.75" customHeight="1">
      <c r="A33" s="1" t="s">
        <v>89</v>
      </c>
      <c r="C33" s="1" t="s">
        <v>90</v>
      </c>
      <c r="D33" s="16"/>
      <c r="E33" s="16">
        <v>91775</v>
      </c>
      <c r="G33" s="16">
        <v>0</v>
      </c>
      <c r="I33" s="16">
        <v>76263</v>
      </c>
      <c r="K33" s="16">
        <v>0</v>
      </c>
      <c r="M33" s="16">
        <v>85392</v>
      </c>
      <c r="O33" s="16">
        <v>3427</v>
      </c>
      <c r="Q33" s="16">
        <v>-5</v>
      </c>
      <c r="S33" s="16">
        <v>17252</v>
      </c>
      <c r="U33" s="16">
        <v>0</v>
      </c>
      <c r="W33" s="16">
        <v>0</v>
      </c>
      <c r="Y33" s="16">
        <v>0</v>
      </c>
      <c r="AA33" s="16">
        <v>0</v>
      </c>
      <c r="AC33" s="16">
        <v>0</v>
      </c>
      <c r="AE33" s="32">
        <f t="shared" si="0"/>
        <v>274104</v>
      </c>
    </row>
    <row r="34" spans="1:31" ht="12.75" customHeight="1">
      <c r="A34" s="1" t="s">
        <v>685</v>
      </c>
      <c r="C34" s="1" t="s">
        <v>184</v>
      </c>
      <c r="E34" s="16">
        <v>122869</v>
      </c>
      <c r="G34" s="16">
        <v>359591</v>
      </c>
      <c r="I34" s="16">
        <v>111721</v>
      </c>
      <c r="K34" s="16">
        <v>0</v>
      </c>
      <c r="M34" s="16">
        <v>128604</v>
      </c>
      <c r="O34" s="16">
        <v>63431</v>
      </c>
      <c r="Q34" s="16">
        <v>11240</v>
      </c>
      <c r="S34" s="16">
        <v>4032</v>
      </c>
      <c r="U34" s="16">
        <v>0</v>
      </c>
      <c r="W34" s="16">
        <v>0</v>
      </c>
      <c r="Y34" s="16">
        <v>0</v>
      </c>
      <c r="AA34" s="16">
        <v>0</v>
      </c>
      <c r="AC34" s="16">
        <v>0</v>
      </c>
      <c r="AE34" s="32">
        <f t="shared" si="0"/>
        <v>801488</v>
      </c>
    </row>
    <row r="35" spans="1:31" ht="12.75" customHeight="1">
      <c r="A35" s="1" t="s">
        <v>722</v>
      </c>
      <c r="C35" s="1" t="s">
        <v>118</v>
      </c>
      <c r="E35" s="16">
        <v>36865</v>
      </c>
      <c r="G35" s="16">
        <v>0</v>
      </c>
      <c r="I35" s="16">
        <v>71626</v>
      </c>
      <c r="K35" s="16">
        <v>0</v>
      </c>
      <c r="M35" s="16">
        <v>0</v>
      </c>
      <c r="O35" s="16">
        <v>140</v>
      </c>
      <c r="Q35" s="16">
        <v>1583</v>
      </c>
      <c r="S35" s="16">
        <v>64837</v>
      </c>
      <c r="U35" s="16">
        <v>0</v>
      </c>
      <c r="W35" s="16">
        <v>0</v>
      </c>
      <c r="Y35" s="16">
        <v>33860</v>
      </c>
      <c r="AA35" s="16">
        <v>0</v>
      </c>
      <c r="AC35" s="16">
        <v>0</v>
      </c>
      <c r="AE35" s="32">
        <f t="shared" si="0"/>
        <v>208911</v>
      </c>
    </row>
    <row r="36" spans="1:31" ht="12.75" customHeight="1">
      <c r="A36" s="1" t="s">
        <v>91</v>
      </c>
      <c r="C36" s="30" t="s">
        <v>92</v>
      </c>
      <c r="D36" s="16"/>
      <c r="E36" s="16">
        <v>5077</v>
      </c>
      <c r="G36" s="16">
        <v>0</v>
      </c>
      <c r="I36" s="16">
        <v>57731</v>
      </c>
      <c r="K36" s="16">
        <v>0</v>
      </c>
      <c r="M36" s="16">
        <v>4025</v>
      </c>
      <c r="O36" s="16">
        <v>200</v>
      </c>
      <c r="Q36" s="16">
        <v>372</v>
      </c>
      <c r="S36" s="16">
        <v>1730</v>
      </c>
      <c r="U36" s="16">
        <v>0</v>
      </c>
      <c r="W36" s="16">
        <v>0</v>
      </c>
      <c r="Y36" s="16">
        <v>0</v>
      </c>
      <c r="AA36" s="16">
        <v>0</v>
      </c>
      <c r="AC36" s="16">
        <v>0</v>
      </c>
      <c r="AE36" s="32">
        <f t="shared" si="0"/>
        <v>69135</v>
      </c>
    </row>
    <row r="37" spans="1:31" ht="12.75" customHeight="1">
      <c r="A37" s="1" t="s">
        <v>713</v>
      </c>
      <c r="C37" s="1" t="s">
        <v>712</v>
      </c>
      <c r="E37" s="16">
        <v>18725</v>
      </c>
      <c r="G37" s="16">
        <v>0</v>
      </c>
      <c r="I37" s="16">
        <v>58191</v>
      </c>
      <c r="K37" s="16">
        <v>0</v>
      </c>
      <c r="M37" s="16">
        <v>18000</v>
      </c>
      <c r="O37" s="16">
        <v>0</v>
      </c>
      <c r="Q37" s="16">
        <v>4449</v>
      </c>
      <c r="S37" s="16">
        <v>3960</v>
      </c>
      <c r="U37" s="16">
        <v>0</v>
      </c>
      <c r="W37" s="16">
        <v>0</v>
      </c>
      <c r="Y37" s="16">
        <v>0</v>
      </c>
      <c r="AA37" s="16">
        <v>0</v>
      </c>
      <c r="AC37" s="16">
        <v>0</v>
      </c>
      <c r="AE37" s="32">
        <f t="shared" si="0"/>
        <v>103325</v>
      </c>
    </row>
    <row r="38" spans="1:31" ht="12.75" customHeight="1">
      <c r="A38" s="1" t="s">
        <v>93</v>
      </c>
      <c r="C38" s="1" t="s">
        <v>94</v>
      </c>
      <c r="D38" s="16"/>
      <c r="E38" s="16">
        <v>2302</v>
      </c>
      <c r="G38" s="16">
        <v>0</v>
      </c>
      <c r="I38" s="16">
        <v>9644</v>
      </c>
      <c r="K38" s="16">
        <v>0</v>
      </c>
      <c r="M38" s="16">
        <v>101</v>
      </c>
      <c r="O38" s="16">
        <v>2377</v>
      </c>
      <c r="Q38" s="16">
        <v>0</v>
      </c>
      <c r="S38" s="16">
        <v>615</v>
      </c>
      <c r="U38" s="16">
        <v>0</v>
      </c>
      <c r="W38" s="16">
        <v>0</v>
      </c>
      <c r="Y38" s="16">
        <v>0</v>
      </c>
      <c r="AA38" s="16">
        <v>0</v>
      </c>
      <c r="AC38" s="16">
        <v>0</v>
      </c>
      <c r="AE38" s="32">
        <f t="shared" si="0"/>
        <v>15039</v>
      </c>
    </row>
    <row r="39" spans="1:31" ht="12.75" customHeight="1">
      <c r="A39" s="1" t="s">
        <v>95</v>
      </c>
      <c r="C39" s="1" t="s">
        <v>96</v>
      </c>
      <c r="D39" s="16"/>
      <c r="E39" s="16">
        <v>41726</v>
      </c>
      <c r="G39" s="16">
        <v>69489</v>
      </c>
      <c r="I39" s="16">
        <v>24747</v>
      </c>
      <c r="K39" s="16">
        <v>0</v>
      </c>
      <c r="M39" s="16">
        <v>6055</v>
      </c>
      <c r="O39" s="16">
        <v>2445</v>
      </c>
      <c r="Q39" s="16">
        <v>1677</v>
      </c>
      <c r="S39" s="16">
        <v>2353</v>
      </c>
      <c r="U39" s="16">
        <v>0</v>
      </c>
      <c r="W39" s="16">
        <v>0</v>
      </c>
      <c r="Y39" s="16">
        <v>0</v>
      </c>
      <c r="AA39" s="16">
        <v>0</v>
      </c>
      <c r="AC39" s="16">
        <v>213</v>
      </c>
      <c r="AE39" s="32">
        <f t="shared" si="0"/>
        <v>148705</v>
      </c>
    </row>
    <row r="40" spans="1:31" ht="12.75" customHeight="1">
      <c r="A40" s="1" t="s">
        <v>97</v>
      </c>
      <c r="C40" s="1" t="s">
        <v>98</v>
      </c>
      <c r="D40" s="16"/>
      <c r="E40" s="16">
        <v>74802</v>
      </c>
      <c r="G40" s="16">
        <v>0</v>
      </c>
      <c r="I40" s="16">
        <v>70853</v>
      </c>
      <c r="K40" s="16">
        <v>0</v>
      </c>
      <c r="M40" s="16">
        <v>8425</v>
      </c>
      <c r="O40" s="16">
        <v>26838</v>
      </c>
      <c r="Q40" s="16">
        <v>12731</v>
      </c>
      <c r="S40" s="16">
        <v>7624</v>
      </c>
      <c r="U40" s="16">
        <v>0</v>
      </c>
      <c r="W40" s="16">
        <v>0</v>
      </c>
      <c r="Y40" s="16">
        <v>246875</v>
      </c>
      <c r="AA40" s="16">
        <v>0</v>
      </c>
      <c r="AC40" s="16">
        <v>0</v>
      </c>
      <c r="AE40" s="32">
        <f t="shared" si="0"/>
        <v>448148</v>
      </c>
    </row>
    <row r="41" spans="1:31" ht="12.75" customHeight="1">
      <c r="A41" s="1" t="s">
        <v>99</v>
      </c>
      <c r="C41" s="1" t="s">
        <v>100</v>
      </c>
      <c r="D41" s="16"/>
      <c r="E41" s="16">
        <v>106265</v>
      </c>
      <c r="G41" s="16">
        <v>0</v>
      </c>
      <c r="I41" s="16">
        <v>278971</v>
      </c>
      <c r="K41" s="16">
        <v>0</v>
      </c>
      <c r="M41" s="16">
        <v>0</v>
      </c>
      <c r="O41" s="16">
        <v>55516</v>
      </c>
      <c r="Q41" s="16">
        <v>52112</v>
      </c>
      <c r="S41" s="16">
        <v>8703</v>
      </c>
      <c r="U41" s="16">
        <v>0</v>
      </c>
      <c r="W41" s="16">
        <v>0</v>
      </c>
      <c r="Y41" s="16">
        <v>201904</v>
      </c>
      <c r="AA41" s="16">
        <v>0</v>
      </c>
      <c r="AC41" s="16">
        <v>0</v>
      </c>
      <c r="AE41" s="32">
        <f t="shared" si="0"/>
        <v>703471</v>
      </c>
    </row>
    <row r="42" spans="1:31" ht="12.75" customHeight="1">
      <c r="A42" s="1" t="s">
        <v>101</v>
      </c>
      <c r="C42" s="1" t="s">
        <v>102</v>
      </c>
      <c r="D42" s="16"/>
      <c r="E42" s="16">
        <v>59130</v>
      </c>
      <c r="G42" s="16">
        <v>0</v>
      </c>
      <c r="I42" s="16">
        <v>171743</v>
      </c>
      <c r="K42" s="16">
        <v>0</v>
      </c>
      <c r="M42" s="16">
        <v>7513</v>
      </c>
      <c r="O42" s="16">
        <v>17007</v>
      </c>
      <c r="Q42" s="16">
        <v>3140</v>
      </c>
      <c r="S42" s="16">
        <v>34</v>
      </c>
      <c r="U42" s="16">
        <v>0</v>
      </c>
      <c r="W42" s="16">
        <v>1301</v>
      </c>
      <c r="Y42" s="16">
        <v>239500</v>
      </c>
      <c r="AA42" s="16">
        <v>0</v>
      </c>
      <c r="AC42" s="16">
        <v>3353</v>
      </c>
      <c r="AE42" s="32">
        <f t="shared" si="0"/>
        <v>502721</v>
      </c>
    </row>
    <row r="43" spans="1:31" ht="12.75" customHeight="1">
      <c r="A43" s="1" t="s">
        <v>103</v>
      </c>
      <c r="C43" s="1" t="s">
        <v>104</v>
      </c>
      <c r="D43" s="16"/>
      <c r="E43" s="16">
        <v>1836</v>
      </c>
      <c r="G43" s="16">
        <v>0</v>
      </c>
      <c r="I43" s="16">
        <v>13183</v>
      </c>
      <c r="K43" s="16">
        <v>0</v>
      </c>
      <c r="M43" s="16">
        <v>0</v>
      </c>
      <c r="O43" s="16">
        <v>0</v>
      </c>
      <c r="Q43" s="16">
        <v>1495</v>
      </c>
      <c r="S43" s="16">
        <v>0</v>
      </c>
      <c r="U43" s="16">
        <v>0</v>
      </c>
      <c r="W43" s="16">
        <v>0</v>
      </c>
      <c r="Y43" s="16">
        <v>0</v>
      </c>
      <c r="AA43" s="16">
        <v>0</v>
      </c>
      <c r="AC43" s="16">
        <v>0</v>
      </c>
      <c r="AE43" s="32">
        <f t="shared" si="0"/>
        <v>16514</v>
      </c>
    </row>
    <row r="44" spans="1:31" ht="12.75" customHeight="1">
      <c r="A44" s="1" t="s">
        <v>527</v>
      </c>
      <c r="C44" s="1" t="s">
        <v>261</v>
      </c>
      <c r="E44" s="16">
        <v>70584</v>
      </c>
      <c r="G44" s="16">
        <v>0</v>
      </c>
      <c r="I44" s="16">
        <v>80125</v>
      </c>
      <c r="K44" s="16">
        <v>0</v>
      </c>
      <c r="M44" s="16">
        <v>0</v>
      </c>
      <c r="O44" s="16">
        <v>4712</v>
      </c>
      <c r="Q44" s="16">
        <v>555</v>
      </c>
      <c r="S44" s="16">
        <v>63713</v>
      </c>
      <c r="U44" s="16">
        <v>0</v>
      </c>
      <c r="W44" s="16">
        <v>0</v>
      </c>
      <c r="Y44" s="16">
        <v>0</v>
      </c>
      <c r="AA44" s="16">
        <v>0</v>
      </c>
      <c r="AC44" s="16">
        <v>0</v>
      </c>
      <c r="AE44" s="32">
        <f t="shared" si="0"/>
        <v>219689</v>
      </c>
    </row>
    <row r="45" spans="1:31" ht="12.75" customHeight="1">
      <c r="A45" s="1" t="s">
        <v>105</v>
      </c>
      <c r="C45" s="1" t="s">
        <v>106</v>
      </c>
      <c r="D45" s="16"/>
      <c r="E45" s="16">
        <v>45775</v>
      </c>
      <c r="G45" s="16">
        <v>42543</v>
      </c>
      <c r="I45" s="16">
        <v>51127</v>
      </c>
      <c r="K45" s="16">
        <v>0</v>
      </c>
      <c r="M45" s="16">
        <v>31</v>
      </c>
      <c r="O45" s="16">
        <v>47</v>
      </c>
      <c r="Q45" s="16">
        <v>12842</v>
      </c>
      <c r="S45" s="16">
        <v>12205</v>
      </c>
      <c r="U45" s="16">
        <v>0</v>
      </c>
      <c r="W45" s="16">
        <v>0</v>
      </c>
      <c r="Y45" s="16">
        <v>0</v>
      </c>
      <c r="AA45" s="16">
        <v>0</v>
      </c>
      <c r="AC45" s="16">
        <v>0</v>
      </c>
      <c r="AE45" s="32">
        <f t="shared" si="0"/>
        <v>164570</v>
      </c>
    </row>
    <row r="46" spans="1:31" ht="12.75" customHeight="1">
      <c r="A46" s="1" t="s">
        <v>658</v>
      </c>
      <c r="C46" s="1" t="s">
        <v>80</v>
      </c>
      <c r="E46" s="16">
        <v>20504</v>
      </c>
      <c r="G46" s="16">
        <v>0</v>
      </c>
      <c r="I46" s="16">
        <v>15010</v>
      </c>
      <c r="K46" s="16">
        <v>0</v>
      </c>
      <c r="M46" s="16">
        <v>0</v>
      </c>
      <c r="O46" s="16">
        <v>0</v>
      </c>
      <c r="Q46" s="16">
        <v>432</v>
      </c>
      <c r="S46" s="16">
        <v>5788</v>
      </c>
      <c r="U46" s="16">
        <v>0</v>
      </c>
      <c r="W46" s="16">
        <v>0</v>
      </c>
      <c r="Y46" s="16">
        <v>0</v>
      </c>
      <c r="AA46" s="16">
        <v>0</v>
      </c>
      <c r="AC46" s="16">
        <v>0</v>
      </c>
      <c r="AE46" s="32">
        <f t="shared" si="0"/>
        <v>41734</v>
      </c>
    </row>
    <row r="47" spans="1:31" ht="12.75" customHeight="1">
      <c r="A47" s="1" t="s">
        <v>690</v>
      </c>
      <c r="C47" s="1" t="s">
        <v>353</v>
      </c>
      <c r="E47" s="16">
        <v>7282</v>
      </c>
      <c r="G47" s="16">
        <v>0</v>
      </c>
      <c r="I47" s="16">
        <v>63461</v>
      </c>
      <c r="K47" s="16">
        <v>0</v>
      </c>
      <c r="M47" s="16">
        <v>0</v>
      </c>
      <c r="O47" s="16">
        <v>2883</v>
      </c>
      <c r="Q47" s="16">
        <v>1060</v>
      </c>
      <c r="S47" s="16">
        <v>1028</v>
      </c>
      <c r="U47" s="16">
        <v>0</v>
      </c>
      <c r="W47" s="16">
        <v>0</v>
      </c>
      <c r="Y47" s="16">
        <v>0</v>
      </c>
      <c r="AA47" s="16">
        <v>0</v>
      </c>
      <c r="AC47" s="16">
        <v>0</v>
      </c>
      <c r="AE47" s="32">
        <f t="shared" si="0"/>
        <v>75714</v>
      </c>
    </row>
    <row r="48" spans="1:31" ht="12.75" customHeight="1">
      <c r="A48" s="1" t="s">
        <v>446</v>
      </c>
      <c r="C48" s="1" t="s">
        <v>447</v>
      </c>
      <c r="E48" s="16">
        <v>15391</v>
      </c>
      <c r="G48" s="16">
        <v>0</v>
      </c>
      <c r="I48" s="16">
        <v>20611</v>
      </c>
      <c r="K48" s="16">
        <v>2000</v>
      </c>
      <c r="M48" s="16">
        <v>0</v>
      </c>
      <c r="O48" s="16">
        <v>2066</v>
      </c>
      <c r="Q48" s="16">
        <v>2967</v>
      </c>
      <c r="S48" s="16">
        <v>1053</v>
      </c>
      <c r="U48" s="16">
        <v>0</v>
      </c>
      <c r="W48" s="16">
        <v>0</v>
      </c>
      <c r="Y48" s="16">
        <v>0</v>
      </c>
      <c r="AA48" s="16">
        <v>0</v>
      </c>
      <c r="AC48" s="16">
        <v>7127</v>
      </c>
      <c r="AE48" s="32">
        <f t="shared" si="0"/>
        <v>51215</v>
      </c>
    </row>
    <row r="49" spans="1:31" ht="12.75" customHeight="1">
      <c r="A49" s="1" t="s">
        <v>107</v>
      </c>
      <c r="C49" s="1" t="s">
        <v>100</v>
      </c>
      <c r="D49" s="16"/>
      <c r="E49" s="16">
        <v>90317</v>
      </c>
      <c r="G49" s="16">
        <v>602995</v>
      </c>
      <c r="I49" s="16">
        <v>420537</v>
      </c>
      <c r="K49" s="16">
        <v>0</v>
      </c>
      <c r="M49" s="16">
        <v>69522</v>
      </c>
      <c r="O49" s="16">
        <v>56561</v>
      </c>
      <c r="Q49" s="16">
        <v>5085</v>
      </c>
      <c r="S49" s="16">
        <v>17903</v>
      </c>
      <c r="U49" s="16">
        <v>0</v>
      </c>
      <c r="W49" s="16">
        <v>0</v>
      </c>
      <c r="Y49" s="16">
        <v>0</v>
      </c>
      <c r="AA49" s="16">
        <v>0</v>
      </c>
      <c r="AC49" s="16">
        <v>0</v>
      </c>
      <c r="AE49" s="32">
        <f t="shared" si="0"/>
        <v>1262920</v>
      </c>
    </row>
    <row r="50" spans="1:31" ht="12.75" customHeight="1">
      <c r="A50" s="1" t="s">
        <v>616</v>
      </c>
      <c r="C50" s="1" t="s">
        <v>369</v>
      </c>
      <c r="E50" s="16">
        <v>27241</v>
      </c>
      <c r="G50" s="16">
        <v>108134</v>
      </c>
      <c r="I50" s="16">
        <v>10447</v>
      </c>
      <c r="K50" s="16">
        <v>0</v>
      </c>
      <c r="M50" s="16">
        <v>1951</v>
      </c>
      <c r="O50" s="16">
        <v>5364</v>
      </c>
      <c r="Q50" s="16">
        <v>4008</v>
      </c>
      <c r="S50" s="16">
        <v>4317</v>
      </c>
      <c r="U50" s="16">
        <v>0</v>
      </c>
      <c r="W50" s="16">
        <v>0</v>
      </c>
      <c r="Y50" s="16">
        <v>0</v>
      </c>
      <c r="AA50" s="16">
        <v>0</v>
      </c>
      <c r="AC50" s="16">
        <v>0</v>
      </c>
      <c r="AE50" s="32">
        <f t="shared" si="0"/>
        <v>161462</v>
      </c>
    </row>
    <row r="51" spans="1:31" ht="12.75" customHeight="1">
      <c r="A51" s="1" t="s">
        <v>108</v>
      </c>
      <c r="C51" s="1" t="s">
        <v>104</v>
      </c>
      <c r="D51" s="16"/>
      <c r="E51" s="16">
        <v>8913</v>
      </c>
      <c r="G51" s="16">
        <v>0</v>
      </c>
      <c r="I51" s="16">
        <v>16398</v>
      </c>
      <c r="K51" s="16">
        <v>0</v>
      </c>
      <c r="M51" s="16">
        <v>2355</v>
      </c>
      <c r="O51" s="16">
        <v>0</v>
      </c>
      <c r="Q51" s="16">
        <v>11</v>
      </c>
      <c r="S51" s="16">
        <v>1400</v>
      </c>
      <c r="U51" s="16">
        <v>0</v>
      </c>
      <c r="W51" s="16">
        <v>0</v>
      </c>
      <c r="Y51" s="16">
        <v>0</v>
      </c>
      <c r="AA51" s="16">
        <v>0</v>
      </c>
      <c r="AC51" s="16">
        <v>0</v>
      </c>
      <c r="AE51" s="32">
        <f t="shared" si="0"/>
        <v>29077</v>
      </c>
    </row>
    <row r="52" spans="1:31" ht="12.75" customHeight="1">
      <c r="A52" s="1" t="s">
        <v>709</v>
      </c>
      <c r="C52" s="1" t="s">
        <v>147</v>
      </c>
      <c r="E52" s="16">
        <v>192931</v>
      </c>
      <c r="G52" s="16">
        <v>0</v>
      </c>
      <c r="I52" s="16">
        <v>51339</v>
      </c>
      <c r="K52" s="16">
        <v>0</v>
      </c>
      <c r="M52" s="16">
        <v>0</v>
      </c>
      <c r="O52" s="16">
        <v>54521</v>
      </c>
      <c r="Q52" s="16">
        <v>4230</v>
      </c>
      <c r="S52" s="16">
        <v>19695</v>
      </c>
      <c r="U52" s="16">
        <v>0</v>
      </c>
      <c r="W52" s="16">
        <v>205</v>
      </c>
      <c r="Y52" s="16">
        <v>260723</v>
      </c>
      <c r="AA52" s="16">
        <v>0</v>
      </c>
      <c r="AC52" s="16">
        <v>660000</v>
      </c>
      <c r="AE52" s="32">
        <f t="shared" si="0"/>
        <v>1243644</v>
      </c>
    </row>
    <row r="53" spans="1:31" ht="12.75" customHeight="1">
      <c r="A53" s="1" t="s">
        <v>100</v>
      </c>
      <c r="C53" s="1" t="s">
        <v>100</v>
      </c>
      <c r="E53" s="16">
        <v>16808</v>
      </c>
      <c r="G53" s="16">
        <v>0</v>
      </c>
      <c r="I53" s="16">
        <v>32657</v>
      </c>
      <c r="K53" s="16">
        <v>613</v>
      </c>
      <c r="M53" s="16">
        <v>54153</v>
      </c>
      <c r="O53" s="16">
        <v>4421</v>
      </c>
      <c r="Q53" s="16">
        <v>605</v>
      </c>
      <c r="S53" s="16">
        <v>26801</v>
      </c>
      <c r="U53" s="16">
        <v>0</v>
      </c>
      <c r="W53" s="16">
        <v>6525</v>
      </c>
      <c r="Y53" s="16">
        <v>0</v>
      </c>
      <c r="AA53" s="16">
        <v>0</v>
      </c>
      <c r="AC53" s="16">
        <v>16500</v>
      </c>
      <c r="AE53" s="32">
        <f t="shared" si="0"/>
        <v>159083</v>
      </c>
    </row>
    <row r="54" spans="1:31" ht="12.75" customHeight="1">
      <c r="A54" s="1" t="s">
        <v>109</v>
      </c>
      <c r="C54" s="1" t="s">
        <v>110</v>
      </c>
      <c r="D54" s="16"/>
      <c r="E54" s="31">
        <v>37445</v>
      </c>
      <c r="G54" s="16">
        <v>0</v>
      </c>
      <c r="I54" s="31">
        <v>0</v>
      </c>
      <c r="K54" s="16">
        <v>0</v>
      </c>
      <c r="M54" s="16">
        <v>0</v>
      </c>
      <c r="O54" s="16">
        <v>0</v>
      </c>
      <c r="Q54" s="16">
        <v>0</v>
      </c>
      <c r="S54" s="16">
        <v>0</v>
      </c>
      <c r="U54" s="16">
        <v>0</v>
      </c>
      <c r="W54" s="16">
        <v>0</v>
      </c>
      <c r="Y54" s="16">
        <v>0</v>
      </c>
      <c r="AA54" s="16">
        <v>0</v>
      </c>
      <c r="AC54" s="16">
        <v>0</v>
      </c>
      <c r="AE54" s="32">
        <f t="shared" si="0"/>
        <v>37445</v>
      </c>
    </row>
    <row r="55" spans="1:31" ht="12.75" customHeight="1">
      <c r="A55" s="1" t="s">
        <v>630</v>
      </c>
      <c r="C55" s="1" t="s">
        <v>378</v>
      </c>
      <c r="E55" s="16">
        <v>43272</v>
      </c>
      <c r="G55" s="16">
        <v>0</v>
      </c>
      <c r="I55" s="16">
        <v>7818</v>
      </c>
      <c r="K55" s="16">
        <v>0</v>
      </c>
      <c r="M55" s="16">
        <v>0</v>
      </c>
      <c r="O55" s="16">
        <v>0</v>
      </c>
      <c r="Q55" s="16">
        <v>3572</v>
      </c>
      <c r="S55" s="16">
        <v>9376</v>
      </c>
      <c r="U55" s="16">
        <v>0</v>
      </c>
      <c r="W55" s="16">
        <v>0</v>
      </c>
      <c r="Y55" s="16">
        <v>0</v>
      </c>
      <c r="AA55" s="16">
        <v>0</v>
      </c>
      <c r="AC55" s="16">
        <v>0</v>
      </c>
      <c r="AE55" s="32">
        <f t="shared" si="0"/>
        <v>64038</v>
      </c>
    </row>
    <row r="56" spans="1:31" ht="12.75" customHeight="1">
      <c r="A56" s="1" t="s">
        <v>111</v>
      </c>
      <c r="C56" s="1" t="s">
        <v>112</v>
      </c>
      <c r="D56" s="16"/>
      <c r="E56" s="16">
        <v>352524</v>
      </c>
      <c r="G56" s="16">
        <v>899430</v>
      </c>
      <c r="I56" s="16">
        <v>78296</v>
      </c>
      <c r="K56" s="16">
        <v>0</v>
      </c>
      <c r="M56" s="16">
        <v>2198</v>
      </c>
      <c r="O56" s="16">
        <v>39263</v>
      </c>
      <c r="Q56" s="16">
        <v>13277</v>
      </c>
      <c r="S56" s="16">
        <v>758</v>
      </c>
      <c r="U56" s="16">
        <v>0</v>
      </c>
      <c r="W56" s="16">
        <v>0</v>
      </c>
      <c r="Y56" s="16">
        <v>0</v>
      </c>
      <c r="AA56" s="16">
        <v>325000</v>
      </c>
      <c r="AC56" s="16">
        <v>24974</v>
      </c>
      <c r="AE56" s="32">
        <f t="shared" si="0"/>
        <v>1735720</v>
      </c>
    </row>
    <row r="57" spans="1:31" ht="12.75" customHeight="1">
      <c r="A57" s="1" t="s">
        <v>113</v>
      </c>
      <c r="C57" s="1" t="s">
        <v>114</v>
      </c>
      <c r="D57" s="16"/>
      <c r="E57" s="16">
        <v>5062</v>
      </c>
      <c r="G57" s="16">
        <v>0</v>
      </c>
      <c r="I57" s="16">
        <v>45321</v>
      </c>
      <c r="K57" s="16">
        <v>0</v>
      </c>
      <c r="M57" s="16">
        <v>0</v>
      </c>
      <c r="O57" s="16">
        <v>0</v>
      </c>
      <c r="Q57" s="16">
        <v>0</v>
      </c>
      <c r="S57" s="16">
        <v>1303</v>
      </c>
      <c r="U57" s="16">
        <v>0</v>
      </c>
      <c r="W57" s="16">
        <v>0</v>
      </c>
      <c r="Y57" s="16">
        <v>0</v>
      </c>
      <c r="AA57" s="16">
        <v>0</v>
      </c>
      <c r="AC57" s="16">
        <v>0</v>
      </c>
      <c r="AE57" s="32">
        <f t="shared" si="0"/>
        <v>51686</v>
      </c>
    </row>
    <row r="58" spans="1:31" ht="12.75" customHeight="1">
      <c r="A58" s="1" t="s">
        <v>115</v>
      </c>
      <c r="C58" s="1" t="s">
        <v>69</v>
      </c>
      <c r="D58" s="16"/>
      <c r="E58" s="16">
        <v>16908</v>
      </c>
      <c r="G58" s="16">
        <v>0</v>
      </c>
      <c r="I58" s="16">
        <v>48846</v>
      </c>
      <c r="K58" s="16">
        <v>0</v>
      </c>
      <c r="M58" s="16">
        <v>0</v>
      </c>
      <c r="O58" s="16">
        <v>8846</v>
      </c>
      <c r="Q58" s="16">
        <v>126</v>
      </c>
      <c r="S58" s="16">
        <v>42613</v>
      </c>
      <c r="U58" s="16">
        <v>0</v>
      </c>
      <c r="W58" s="16">
        <v>0</v>
      </c>
      <c r="Y58" s="16">
        <v>0</v>
      </c>
      <c r="AA58" s="16">
        <v>0</v>
      </c>
      <c r="AC58" s="16">
        <v>0</v>
      </c>
      <c r="AE58" s="32">
        <f t="shared" si="0"/>
        <v>117339</v>
      </c>
    </row>
    <row r="59" spans="1:31" ht="12.75" customHeight="1">
      <c r="A59" s="1" t="s">
        <v>626</v>
      </c>
      <c r="C59" s="1" t="s">
        <v>250</v>
      </c>
      <c r="E59" s="16">
        <v>15550</v>
      </c>
      <c r="G59" s="16">
        <v>0</v>
      </c>
      <c r="I59" s="16">
        <v>10590</v>
      </c>
      <c r="K59" s="16">
        <v>0</v>
      </c>
      <c r="M59" s="16">
        <v>20416</v>
      </c>
      <c r="O59" s="16">
        <v>41912</v>
      </c>
      <c r="Q59" s="16">
        <v>289</v>
      </c>
      <c r="S59" s="16">
        <v>2745</v>
      </c>
      <c r="U59" s="16">
        <v>0</v>
      </c>
      <c r="W59" s="16">
        <v>0</v>
      </c>
      <c r="Y59" s="16">
        <v>0</v>
      </c>
      <c r="AA59" s="16">
        <v>0</v>
      </c>
      <c r="AC59" s="16">
        <v>0</v>
      </c>
      <c r="AE59" s="32">
        <f t="shared" si="0"/>
        <v>91502</v>
      </c>
    </row>
    <row r="60" spans="1:31" ht="12.75" customHeight="1">
      <c r="A60" s="1" t="s">
        <v>528</v>
      </c>
      <c r="C60" s="1" t="s">
        <v>261</v>
      </c>
      <c r="E60" s="16">
        <v>128677</v>
      </c>
      <c r="G60" s="16">
        <v>0</v>
      </c>
      <c r="I60" s="16">
        <v>72388</v>
      </c>
      <c r="K60" s="16">
        <v>0</v>
      </c>
      <c r="M60" s="16">
        <v>0</v>
      </c>
      <c r="O60" s="16">
        <v>4366</v>
      </c>
      <c r="Q60" s="16">
        <v>3385</v>
      </c>
      <c r="S60" s="16">
        <v>8609</v>
      </c>
      <c r="U60" s="16">
        <v>0</v>
      </c>
      <c r="W60" s="16">
        <v>0</v>
      </c>
      <c r="Y60" s="16">
        <v>0</v>
      </c>
      <c r="AA60" s="16">
        <v>0</v>
      </c>
      <c r="AC60" s="16">
        <v>0</v>
      </c>
      <c r="AE60" s="32">
        <f t="shared" si="0"/>
        <v>217425</v>
      </c>
    </row>
    <row r="61" spans="1:31" ht="12.75" customHeight="1">
      <c r="A61" s="1" t="s">
        <v>116</v>
      </c>
      <c r="C61" s="1" t="s">
        <v>102</v>
      </c>
      <c r="D61" s="16"/>
      <c r="E61" s="16">
        <v>51792</v>
      </c>
      <c r="G61" s="16">
        <v>0</v>
      </c>
      <c r="I61" s="16">
        <v>170061</v>
      </c>
      <c r="K61" s="16">
        <v>0</v>
      </c>
      <c r="M61" s="16">
        <v>154992</v>
      </c>
      <c r="O61" s="16">
        <v>45468</v>
      </c>
      <c r="Q61" s="16">
        <v>25857</v>
      </c>
      <c r="S61" s="16">
        <v>2662</v>
      </c>
      <c r="U61" s="16">
        <v>0</v>
      </c>
      <c r="W61" s="16">
        <v>90000</v>
      </c>
      <c r="Y61" s="16">
        <v>0</v>
      </c>
      <c r="AA61" s="16">
        <v>0</v>
      </c>
      <c r="AC61" s="16">
        <v>0</v>
      </c>
      <c r="AE61" s="32">
        <f t="shared" si="0"/>
        <v>540832</v>
      </c>
    </row>
    <row r="62" spans="1:31" ht="12.75" customHeight="1">
      <c r="A62" s="1" t="s">
        <v>465</v>
      </c>
      <c r="C62" s="1" t="s">
        <v>100</v>
      </c>
      <c r="E62" s="16">
        <v>20738</v>
      </c>
      <c r="G62" s="16">
        <v>0</v>
      </c>
      <c r="I62" s="16">
        <v>84292</v>
      </c>
      <c r="K62" s="16">
        <v>0</v>
      </c>
      <c r="M62" s="16">
        <v>2689</v>
      </c>
      <c r="O62" s="16">
        <v>6765</v>
      </c>
      <c r="Q62" s="16">
        <v>6220</v>
      </c>
      <c r="S62" s="16">
        <v>6595</v>
      </c>
      <c r="U62" s="16">
        <v>0</v>
      </c>
      <c r="W62" s="16">
        <v>5931</v>
      </c>
      <c r="Y62" s="16">
        <v>7921</v>
      </c>
      <c r="AA62" s="16">
        <v>0</v>
      </c>
      <c r="AC62" s="16">
        <v>0</v>
      </c>
      <c r="AE62" s="32">
        <f t="shared" si="0"/>
        <v>141151</v>
      </c>
    </row>
    <row r="63" spans="1:31" ht="12.75" customHeight="1">
      <c r="A63" s="1" t="s">
        <v>117</v>
      </c>
      <c r="C63" s="1" t="s">
        <v>118</v>
      </c>
      <c r="D63" s="16"/>
      <c r="E63" s="16">
        <v>51236</v>
      </c>
      <c r="G63" s="16">
        <v>0</v>
      </c>
      <c r="I63" s="16">
        <v>133411</v>
      </c>
      <c r="K63" s="16">
        <v>0</v>
      </c>
      <c r="M63" s="16">
        <v>30480</v>
      </c>
      <c r="O63" s="16">
        <v>44590</v>
      </c>
      <c r="Q63" s="16">
        <v>68</v>
      </c>
      <c r="S63" s="16">
        <v>27381</v>
      </c>
      <c r="U63" s="16">
        <v>0</v>
      </c>
      <c r="W63" s="16">
        <v>15110</v>
      </c>
      <c r="Y63" s="16">
        <v>0</v>
      </c>
      <c r="AA63" s="16">
        <v>0</v>
      </c>
      <c r="AC63" s="16">
        <v>1837</v>
      </c>
      <c r="AE63" s="32">
        <f t="shared" si="0"/>
        <v>304113</v>
      </c>
    </row>
    <row r="64" spans="1:31" ht="12.75" customHeight="1">
      <c r="A64" s="1" t="s">
        <v>119</v>
      </c>
      <c r="C64" s="1" t="s">
        <v>120</v>
      </c>
      <c r="D64" s="16"/>
      <c r="E64" s="16">
        <v>46297</v>
      </c>
      <c r="G64" s="16">
        <v>216729</v>
      </c>
      <c r="I64" s="16">
        <v>115616</v>
      </c>
      <c r="K64" s="16">
        <v>0</v>
      </c>
      <c r="M64" s="16">
        <v>88939</v>
      </c>
      <c r="O64" s="16">
        <f>3426+12</f>
        <v>3438</v>
      </c>
      <c r="Q64" s="16">
        <f>2947+63</f>
        <v>3010</v>
      </c>
      <c r="S64" s="16">
        <v>5584</v>
      </c>
      <c r="U64" s="16">
        <v>0</v>
      </c>
      <c r="W64" s="16">
        <v>0</v>
      </c>
      <c r="Y64" s="16">
        <v>117012</v>
      </c>
      <c r="AA64" s="16">
        <v>0</v>
      </c>
      <c r="AC64" s="16">
        <v>0</v>
      </c>
      <c r="AE64" s="32">
        <f t="shared" si="0"/>
        <v>596625</v>
      </c>
    </row>
    <row r="65" spans="1:31" ht="12.75" customHeight="1">
      <c r="A65" s="1" t="s">
        <v>765</v>
      </c>
      <c r="C65" s="1" t="s">
        <v>190</v>
      </c>
      <c r="E65" s="16">
        <v>3094</v>
      </c>
      <c r="G65" s="16">
        <v>0</v>
      </c>
      <c r="I65" s="16">
        <v>18580</v>
      </c>
      <c r="K65" s="16">
        <v>0</v>
      </c>
      <c r="M65" s="16">
        <v>0</v>
      </c>
      <c r="O65" s="16">
        <v>0</v>
      </c>
      <c r="Q65" s="16">
        <v>2988</v>
      </c>
      <c r="S65" s="16">
        <v>0</v>
      </c>
      <c r="U65" s="16">
        <v>0</v>
      </c>
      <c r="W65" s="16">
        <v>0</v>
      </c>
      <c r="Y65" s="16">
        <v>0</v>
      </c>
      <c r="AA65" s="16">
        <v>0</v>
      </c>
      <c r="AC65" s="16">
        <v>0</v>
      </c>
      <c r="AE65" s="32">
        <f t="shared" si="0"/>
        <v>24662</v>
      </c>
    </row>
    <row r="66" spans="1:31" ht="12.75" customHeight="1">
      <c r="A66" s="1" t="s">
        <v>121</v>
      </c>
      <c r="C66" s="1" t="s">
        <v>122</v>
      </c>
      <c r="D66" s="16"/>
      <c r="E66" s="16">
        <v>413713</v>
      </c>
      <c r="G66" s="16">
        <v>0</v>
      </c>
      <c r="I66" s="16">
        <v>148763</v>
      </c>
      <c r="K66" s="16">
        <v>0</v>
      </c>
      <c r="M66" s="16">
        <v>4968</v>
      </c>
      <c r="O66" s="16">
        <v>15270</v>
      </c>
      <c r="Q66" s="16">
        <v>57034</v>
      </c>
      <c r="S66" s="16">
        <v>64942</v>
      </c>
      <c r="U66" s="16">
        <v>0</v>
      </c>
      <c r="W66" s="16">
        <v>0</v>
      </c>
      <c r="Y66" s="16">
        <v>290290</v>
      </c>
      <c r="AA66" s="16">
        <v>0</v>
      </c>
      <c r="AC66" s="16">
        <v>2522</v>
      </c>
      <c r="AE66" s="32">
        <f t="shared" si="0"/>
        <v>997502</v>
      </c>
    </row>
    <row r="67" spans="1:31" ht="12.75" customHeight="1">
      <c r="A67" s="1" t="s">
        <v>123</v>
      </c>
      <c r="C67" s="1" t="s">
        <v>94</v>
      </c>
      <c r="D67" s="16"/>
      <c r="E67" s="16">
        <v>33723</v>
      </c>
      <c r="G67" s="16">
        <v>89771</v>
      </c>
      <c r="I67" s="16">
        <v>75378</v>
      </c>
      <c r="K67" s="16">
        <v>0</v>
      </c>
      <c r="M67" s="16">
        <v>29760</v>
      </c>
      <c r="O67" s="16">
        <v>1751</v>
      </c>
      <c r="Q67" s="16">
        <v>4064</v>
      </c>
      <c r="S67" s="16">
        <v>5781</v>
      </c>
      <c r="U67" s="16">
        <v>0</v>
      </c>
      <c r="W67" s="16">
        <v>0</v>
      </c>
      <c r="Y67" s="16">
        <v>0</v>
      </c>
      <c r="AA67" s="16">
        <v>0</v>
      </c>
      <c r="AC67" s="16">
        <v>465</v>
      </c>
      <c r="AE67" s="32">
        <f t="shared" si="0"/>
        <v>240693</v>
      </c>
    </row>
    <row r="68" spans="1:31" ht="12.75" customHeight="1">
      <c r="A68" s="1" t="s">
        <v>537</v>
      </c>
      <c r="C68" s="1" t="s">
        <v>200</v>
      </c>
      <c r="E68" s="16">
        <v>49579</v>
      </c>
      <c r="G68" s="16">
        <v>0</v>
      </c>
      <c r="I68" s="16">
        <v>35684</v>
      </c>
      <c r="K68" s="16">
        <v>0</v>
      </c>
      <c r="M68" s="16">
        <v>4204</v>
      </c>
      <c r="O68" s="16">
        <v>3535</v>
      </c>
      <c r="Q68" s="16">
        <v>2465</v>
      </c>
      <c r="S68" s="16">
        <v>0</v>
      </c>
      <c r="U68" s="16">
        <v>0</v>
      </c>
      <c r="W68" s="16">
        <v>0</v>
      </c>
      <c r="Y68" s="16">
        <v>0</v>
      </c>
      <c r="AA68" s="16">
        <v>0</v>
      </c>
      <c r="AC68" s="16">
        <v>0</v>
      </c>
      <c r="AE68" s="32">
        <f t="shared" si="0"/>
        <v>95467</v>
      </c>
    </row>
    <row r="69" spans="1:31" ht="12.75" customHeight="1">
      <c r="A69" s="1" t="s">
        <v>597</v>
      </c>
      <c r="C69" s="1" t="s">
        <v>69</v>
      </c>
      <c r="E69" s="16">
        <v>6531</v>
      </c>
      <c r="G69" s="16">
        <v>0</v>
      </c>
      <c r="I69" s="16">
        <v>39500</v>
      </c>
      <c r="K69" s="16">
        <v>0</v>
      </c>
      <c r="M69" s="16">
        <v>0</v>
      </c>
      <c r="O69" s="16">
        <v>960</v>
      </c>
      <c r="Q69" s="16">
        <v>4</v>
      </c>
      <c r="S69" s="16">
        <v>19583</v>
      </c>
      <c r="U69" s="16">
        <v>0</v>
      </c>
      <c r="W69" s="16">
        <v>0</v>
      </c>
      <c r="Y69" s="16">
        <v>0</v>
      </c>
      <c r="AA69" s="16">
        <v>0</v>
      </c>
      <c r="AC69" s="16">
        <v>0</v>
      </c>
      <c r="AE69" s="32">
        <f t="shared" si="0"/>
        <v>66578</v>
      </c>
    </row>
    <row r="70" spans="1:31" ht="12.75" customHeight="1">
      <c r="A70" s="1" t="s">
        <v>124</v>
      </c>
      <c r="C70" s="1" t="s">
        <v>118</v>
      </c>
      <c r="D70" s="16"/>
      <c r="E70" s="16">
        <v>25134</v>
      </c>
      <c r="G70" s="16">
        <v>0</v>
      </c>
      <c r="I70" s="16">
        <v>86975</v>
      </c>
      <c r="K70" s="16">
        <v>0</v>
      </c>
      <c r="M70" s="16">
        <v>10</v>
      </c>
      <c r="O70" s="16">
        <v>3961</v>
      </c>
      <c r="Q70" s="16">
        <v>1704</v>
      </c>
      <c r="S70" s="16">
        <v>16920</v>
      </c>
      <c r="U70" s="16">
        <v>0</v>
      </c>
      <c r="W70" s="16">
        <v>500</v>
      </c>
      <c r="Y70" s="16">
        <v>0</v>
      </c>
      <c r="AA70" s="16">
        <v>0</v>
      </c>
      <c r="AC70" s="16">
        <v>0</v>
      </c>
      <c r="AE70" s="32">
        <f t="shared" si="0"/>
        <v>135204</v>
      </c>
    </row>
    <row r="71" spans="1:31" ht="12.75" customHeight="1">
      <c r="A71" s="1" t="s">
        <v>125</v>
      </c>
      <c r="C71" s="1" t="s">
        <v>126</v>
      </c>
      <c r="D71" s="1"/>
      <c r="E71" s="16">
        <v>1651469</v>
      </c>
      <c r="G71" s="16">
        <v>0</v>
      </c>
      <c r="I71" s="16">
        <v>348201</v>
      </c>
      <c r="K71" s="16">
        <v>0</v>
      </c>
      <c r="M71" s="16">
        <v>149834</v>
      </c>
      <c r="O71" s="16">
        <v>13248</v>
      </c>
      <c r="Q71" s="16">
        <v>0</v>
      </c>
      <c r="S71" s="16">
        <v>50317</v>
      </c>
      <c r="U71" s="16">
        <v>0</v>
      </c>
      <c r="W71" s="16">
        <v>0</v>
      </c>
      <c r="Y71" s="16">
        <v>246</v>
      </c>
      <c r="AA71" s="16">
        <v>0</v>
      </c>
      <c r="AC71" s="16">
        <v>0</v>
      </c>
      <c r="AE71" s="32">
        <f t="shared" si="0"/>
        <v>2213315</v>
      </c>
    </row>
    <row r="72" spans="1:31" ht="12.75" customHeight="1">
      <c r="A72" s="1" t="s">
        <v>784</v>
      </c>
      <c r="D72" s="1"/>
      <c r="AA72" s="16"/>
      <c r="AC72" s="16"/>
      <c r="AE72" s="32" t="s">
        <v>785</v>
      </c>
    </row>
    <row r="73" spans="1:44" s="36" customFormat="1" ht="12.75" customHeight="1">
      <c r="A73" s="36" t="s">
        <v>127</v>
      </c>
      <c r="C73" s="36" t="s">
        <v>96</v>
      </c>
      <c r="E73" s="36">
        <v>52708</v>
      </c>
      <c r="G73" s="36">
        <v>0</v>
      </c>
      <c r="I73" s="36">
        <v>37833</v>
      </c>
      <c r="K73" s="36">
        <v>0</v>
      </c>
      <c r="M73" s="36">
        <v>49693</v>
      </c>
      <c r="O73" s="36">
        <v>6957</v>
      </c>
      <c r="Q73" s="36">
        <v>3327</v>
      </c>
      <c r="S73" s="36">
        <v>802</v>
      </c>
      <c r="U73" s="36">
        <v>0</v>
      </c>
      <c r="W73" s="36">
        <v>0</v>
      </c>
      <c r="Y73" s="36">
        <v>40678</v>
      </c>
      <c r="AA73" s="36">
        <v>0</v>
      </c>
      <c r="AB73" s="37"/>
      <c r="AC73" s="36">
        <v>0</v>
      </c>
      <c r="AD73" s="37"/>
      <c r="AE73" s="38">
        <f aca="true" t="shared" si="1" ref="AE73:AE138">SUM(E73:AC73)</f>
        <v>191998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</row>
    <row r="74" spans="1:31" ht="12.75" customHeight="1">
      <c r="A74" s="1" t="s">
        <v>128</v>
      </c>
      <c r="C74" s="1" t="s">
        <v>129</v>
      </c>
      <c r="D74" s="16"/>
      <c r="E74" s="16">
        <v>239402</v>
      </c>
      <c r="G74" s="16">
        <v>387320</v>
      </c>
      <c r="I74" s="16">
        <v>119140</v>
      </c>
      <c r="K74" s="16">
        <v>0</v>
      </c>
      <c r="M74" s="16">
        <v>3481</v>
      </c>
      <c r="O74" s="16">
        <v>370111</v>
      </c>
      <c r="Q74" s="16">
        <v>2728</v>
      </c>
      <c r="S74" s="16">
        <v>38836</v>
      </c>
      <c r="U74" s="16">
        <v>100000</v>
      </c>
      <c r="W74" s="16">
        <v>0</v>
      </c>
      <c r="Y74" s="16">
        <v>0</v>
      </c>
      <c r="AA74" s="16">
        <v>0</v>
      </c>
      <c r="AC74" s="16">
        <v>0</v>
      </c>
      <c r="AE74" s="32">
        <f t="shared" si="1"/>
        <v>1261018</v>
      </c>
    </row>
    <row r="75" spans="1:31" ht="12.75" customHeight="1">
      <c r="A75" s="1" t="s">
        <v>130</v>
      </c>
      <c r="C75" s="1" t="s">
        <v>131</v>
      </c>
      <c r="D75" s="16"/>
      <c r="E75" s="16">
        <v>54584</v>
      </c>
      <c r="G75" s="16">
        <v>262376</v>
      </c>
      <c r="I75" s="16">
        <v>148795</v>
      </c>
      <c r="K75" s="16">
        <v>4201</v>
      </c>
      <c r="M75" s="16">
        <v>32402</v>
      </c>
      <c r="O75" s="16">
        <v>2603</v>
      </c>
      <c r="Q75" s="16">
        <v>4028</v>
      </c>
      <c r="S75" s="16">
        <v>39153</v>
      </c>
      <c r="U75" s="16">
        <v>0</v>
      </c>
      <c r="W75" s="16">
        <v>0</v>
      </c>
      <c r="Y75" s="16">
        <v>0</v>
      </c>
      <c r="AA75" s="16">
        <v>0</v>
      </c>
      <c r="AC75" s="16">
        <v>0</v>
      </c>
      <c r="AE75" s="32">
        <f t="shared" si="1"/>
        <v>548142</v>
      </c>
    </row>
    <row r="76" spans="1:31" ht="12.75" customHeight="1">
      <c r="A76" s="1" t="s">
        <v>132</v>
      </c>
      <c r="C76" s="1" t="s">
        <v>133</v>
      </c>
      <c r="D76" s="16"/>
      <c r="E76" s="16">
        <v>24413</v>
      </c>
      <c r="G76" s="16">
        <v>73953</v>
      </c>
      <c r="I76" s="16">
        <v>26013</v>
      </c>
      <c r="K76" s="16">
        <v>0</v>
      </c>
      <c r="M76" s="16">
        <v>1150</v>
      </c>
      <c r="O76" s="16">
        <v>1021</v>
      </c>
      <c r="Q76" s="16">
        <v>3603</v>
      </c>
      <c r="S76" s="16">
        <v>6145</v>
      </c>
      <c r="U76" s="16">
        <v>0</v>
      </c>
      <c r="W76" s="16">
        <v>0</v>
      </c>
      <c r="Y76" s="16">
        <v>0</v>
      </c>
      <c r="AA76" s="16">
        <v>0</v>
      </c>
      <c r="AC76" s="16">
        <v>0</v>
      </c>
      <c r="AE76" s="32">
        <f t="shared" si="1"/>
        <v>136298</v>
      </c>
    </row>
    <row r="77" spans="1:31" ht="12.75" customHeight="1">
      <c r="A77" s="1" t="s">
        <v>554</v>
      </c>
      <c r="C77" s="1" t="s">
        <v>157</v>
      </c>
      <c r="E77" s="16">
        <v>25062</v>
      </c>
      <c r="G77" s="16">
        <v>0</v>
      </c>
      <c r="I77" s="16">
        <v>10409</v>
      </c>
      <c r="K77" s="16">
        <v>0</v>
      </c>
      <c r="M77" s="16">
        <v>50</v>
      </c>
      <c r="O77" s="16">
        <v>348</v>
      </c>
      <c r="Q77" s="16">
        <v>46</v>
      </c>
      <c r="S77" s="16">
        <v>330</v>
      </c>
      <c r="U77" s="16">
        <v>0</v>
      </c>
      <c r="W77" s="16">
        <v>0</v>
      </c>
      <c r="Y77" s="16">
        <v>0</v>
      </c>
      <c r="AA77" s="16">
        <v>3070</v>
      </c>
      <c r="AC77" s="16">
        <v>0</v>
      </c>
      <c r="AE77" s="32">
        <f t="shared" si="1"/>
        <v>39315</v>
      </c>
    </row>
    <row r="78" spans="1:31" ht="12.75" customHeight="1">
      <c r="A78" s="1" t="s">
        <v>134</v>
      </c>
      <c r="C78" s="1" t="s">
        <v>442</v>
      </c>
      <c r="D78" s="16"/>
      <c r="E78" s="16">
        <v>24589</v>
      </c>
      <c r="G78" s="16">
        <v>126780</v>
      </c>
      <c r="I78" s="16">
        <v>114865</v>
      </c>
      <c r="K78" s="16">
        <v>0</v>
      </c>
      <c r="M78" s="16">
        <v>0</v>
      </c>
      <c r="O78" s="16">
        <v>13448</v>
      </c>
      <c r="Q78" s="16">
        <v>2529</v>
      </c>
      <c r="S78" s="16">
        <v>15417</v>
      </c>
      <c r="U78" s="16">
        <v>0</v>
      </c>
      <c r="W78" s="16">
        <v>0</v>
      </c>
      <c r="Y78" s="16">
        <v>0</v>
      </c>
      <c r="AA78" s="16">
        <v>0</v>
      </c>
      <c r="AC78" s="16">
        <v>1541</v>
      </c>
      <c r="AE78" s="32">
        <f t="shared" si="1"/>
        <v>299169</v>
      </c>
    </row>
    <row r="79" spans="1:31" ht="12.75" customHeight="1">
      <c r="A79" s="1" t="s">
        <v>135</v>
      </c>
      <c r="C79" s="1" t="s">
        <v>94</v>
      </c>
      <c r="D79" s="16"/>
      <c r="E79" s="16">
        <v>31429</v>
      </c>
      <c r="G79" s="16">
        <v>70504</v>
      </c>
      <c r="I79" s="16">
        <v>87774</v>
      </c>
      <c r="K79" s="16">
        <v>0</v>
      </c>
      <c r="M79" s="16">
        <v>0</v>
      </c>
      <c r="O79" s="16">
        <v>32493</v>
      </c>
      <c r="Q79" s="16">
        <v>16055</v>
      </c>
      <c r="S79" s="16">
        <v>1118</v>
      </c>
      <c r="U79" s="16">
        <v>0</v>
      </c>
      <c r="W79" s="16">
        <v>0</v>
      </c>
      <c r="Y79" s="16">
        <v>40365</v>
      </c>
      <c r="AA79" s="16">
        <v>0</v>
      </c>
      <c r="AC79" s="16">
        <v>0</v>
      </c>
      <c r="AE79" s="32">
        <f t="shared" si="1"/>
        <v>279738</v>
      </c>
    </row>
    <row r="80" spans="1:31" ht="12.75" customHeight="1">
      <c r="A80" s="1" t="s">
        <v>136</v>
      </c>
      <c r="C80" s="1" t="s">
        <v>137</v>
      </c>
      <c r="D80" s="16"/>
      <c r="E80" s="16">
        <v>38901</v>
      </c>
      <c r="G80" s="16">
        <v>10120</v>
      </c>
      <c r="I80" s="16">
        <f>118693</f>
        <v>118693</v>
      </c>
      <c r="K80" s="16">
        <v>0</v>
      </c>
      <c r="M80" s="16">
        <v>0</v>
      </c>
      <c r="O80" s="16">
        <f>466531+13244</f>
        <v>479775</v>
      </c>
      <c r="Q80" s="16">
        <v>84</v>
      </c>
      <c r="S80" s="16">
        <f>1363+2787</f>
        <v>4150</v>
      </c>
      <c r="U80" s="16">
        <v>0</v>
      </c>
      <c r="W80" s="16">
        <v>0</v>
      </c>
      <c r="Y80" s="16">
        <v>0</v>
      </c>
      <c r="AA80" s="16">
        <v>0</v>
      </c>
      <c r="AC80" s="16">
        <v>0</v>
      </c>
      <c r="AE80" s="32">
        <f t="shared" si="1"/>
        <v>651723</v>
      </c>
    </row>
    <row r="81" spans="1:31" ht="12.75" customHeight="1">
      <c r="A81" s="1" t="s">
        <v>515</v>
      </c>
      <c r="C81" s="1" t="s">
        <v>112</v>
      </c>
      <c r="E81" s="16">
        <v>800176</v>
      </c>
      <c r="G81" s="16">
        <v>1184445</v>
      </c>
      <c r="I81" s="16">
        <v>156752</v>
      </c>
      <c r="K81" s="16">
        <v>0</v>
      </c>
      <c r="M81" s="16">
        <v>0</v>
      </c>
      <c r="O81" s="16">
        <v>392454</v>
      </c>
      <c r="Q81" s="16">
        <v>11188</v>
      </c>
      <c r="S81" s="16">
        <v>60965</v>
      </c>
      <c r="U81" s="16">
        <v>0</v>
      </c>
      <c r="W81" s="16">
        <v>0</v>
      </c>
      <c r="Y81" s="16">
        <v>0</v>
      </c>
      <c r="AA81" s="16">
        <v>0</v>
      </c>
      <c r="AC81" s="16">
        <v>0</v>
      </c>
      <c r="AE81" s="32">
        <f t="shared" si="1"/>
        <v>2605980</v>
      </c>
    </row>
    <row r="82" spans="1:31" ht="12.75" customHeight="1">
      <c r="A82" s="1" t="s">
        <v>531</v>
      </c>
      <c r="C82" s="1" t="s">
        <v>98</v>
      </c>
      <c r="E82" s="16">
        <v>36249</v>
      </c>
      <c r="G82" s="16">
        <v>208424</v>
      </c>
      <c r="I82" s="16">
        <v>26026</v>
      </c>
      <c r="K82" s="16">
        <v>0</v>
      </c>
      <c r="M82" s="16">
        <v>0</v>
      </c>
      <c r="O82" s="16">
        <v>7628</v>
      </c>
      <c r="Q82" s="16">
        <v>2678</v>
      </c>
      <c r="S82" s="16">
        <v>6742</v>
      </c>
      <c r="U82" s="16">
        <v>0</v>
      </c>
      <c r="W82" s="16">
        <v>0</v>
      </c>
      <c r="Y82" s="16">
        <v>0</v>
      </c>
      <c r="AA82" s="16">
        <v>0</v>
      </c>
      <c r="AC82" s="16">
        <v>0</v>
      </c>
      <c r="AE82" s="32">
        <f t="shared" si="1"/>
        <v>287747</v>
      </c>
    </row>
    <row r="83" spans="1:31" ht="12.75" customHeight="1">
      <c r="A83" s="1" t="s">
        <v>138</v>
      </c>
      <c r="C83" s="1" t="s">
        <v>106</v>
      </c>
      <c r="D83" s="16"/>
      <c r="E83" s="16">
        <v>105557</v>
      </c>
      <c r="G83" s="16">
        <v>0</v>
      </c>
      <c r="I83" s="16">
        <v>95802</v>
      </c>
      <c r="K83" s="16">
        <v>3489</v>
      </c>
      <c r="M83" s="16">
        <v>0</v>
      </c>
      <c r="O83" s="16">
        <v>39744</v>
      </c>
      <c r="Q83" s="16">
        <v>14643</v>
      </c>
      <c r="S83" s="16">
        <v>5957</v>
      </c>
      <c r="U83" s="16">
        <v>0</v>
      </c>
      <c r="W83" s="16">
        <v>0</v>
      </c>
      <c r="Y83" s="16">
        <v>347330</v>
      </c>
      <c r="AA83" s="16">
        <v>0</v>
      </c>
      <c r="AC83" s="16">
        <v>0</v>
      </c>
      <c r="AE83" s="32">
        <f t="shared" si="1"/>
        <v>612522</v>
      </c>
    </row>
    <row r="84" spans="1:31" ht="12.75" customHeight="1">
      <c r="A84" s="1" t="s">
        <v>541</v>
      </c>
      <c r="C84" s="1" t="s">
        <v>149</v>
      </c>
      <c r="E84" s="16">
        <v>13817</v>
      </c>
      <c r="G84" s="16">
        <v>27229</v>
      </c>
      <c r="I84" s="16">
        <v>14985</v>
      </c>
      <c r="K84" s="16">
        <v>0</v>
      </c>
      <c r="M84" s="16">
        <v>0</v>
      </c>
      <c r="O84" s="16">
        <v>26561</v>
      </c>
      <c r="Q84" s="16">
        <v>1005</v>
      </c>
      <c r="S84" s="16">
        <v>6133</v>
      </c>
      <c r="U84" s="16">
        <v>0</v>
      </c>
      <c r="W84" s="16">
        <v>0</v>
      </c>
      <c r="Y84" s="16">
        <v>0</v>
      </c>
      <c r="AA84" s="16">
        <v>0</v>
      </c>
      <c r="AC84" s="16">
        <v>0</v>
      </c>
      <c r="AE84" s="32">
        <f t="shared" si="1"/>
        <v>89730</v>
      </c>
    </row>
    <row r="85" spans="1:31" ht="12.75" customHeight="1">
      <c r="A85" s="1" t="s">
        <v>139</v>
      </c>
      <c r="C85" s="1" t="s">
        <v>112</v>
      </c>
      <c r="D85" s="16"/>
      <c r="E85" s="16">
        <v>389536</v>
      </c>
      <c r="G85" s="16">
        <v>3510149</v>
      </c>
      <c r="I85" s="16">
        <v>205728</v>
      </c>
      <c r="K85" s="16">
        <v>0</v>
      </c>
      <c r="M85" s="16">
        <v>55192</v>
      </c>
      <c r="O85" s="16">
        <v>137287</v>
      </c>
      <c r="Q85" s="16">
        <v>71343</v>
      </c>
      <c r="S85" s="16">
        <v>4513</v>
      </c>
      <c r="U85" s="16">
        <v>0</v>
      </c>
      <c r="W85" s="16">
        <v>0</v>
      </c>
      <c r="Y85" s="16">
        <v>150</v>
      </c>
      <c r="AA85" s="16">
        <v>8055</v>
      </c>
      <c r="AC85" s="16">
        <v>15506</v>
      </c>
      <c r="AE85" s="32">
        <f t="shared" si="1"/>
        <v>4397459</v>
      </c>
    </row>
    <row r="86" spans="1:31" ht="12.75" customHeight="1">
      <c r="A86" s="1" t="s">
        <v>466</v>
      </c>
      <c r="C86" s="1" t="s">
        <v>100</v>
      </c>
      <c r="E86" s="16">
        <v>39804</v>
      </c>
      <c r="G86" s="16">
        <v>0</v>
      </c>
      <c r="I86" s="16">
        <v>58636</v>
      </c>
      <c r="K86" s="16">
        <v>0</v>
      </c>
      <c r="M86" s="16">
        <v>13915</v>
      </c>
      <c r="O86" s="16">
        <v>4565</v>
      </c>
      <c r="Q86" s="16">
        <v>1389</v>
      </c>
      <c r="S86" s="16">
        <v>26731</v>
      </c>
      <c r="U86" s="16">
        <v>25740</v>
      </c>
      <c r="W86" s="16">
        <v>0</v>
      </c>
      <c r="Y86" s="16">
        <v>2855</v>
      </c>
      <c r="AA86" s="16">
        <v>0</v>
      </c>
      <c r="AC86" s="16">
        <v>0</v>
      </c>
      <c r="AE86" s="32">
        <f t="shared" si="1"/>
        <v>173635</v>
      </c>
    </row>
    <row r="87" spans="1:31" ht="12.75" customHeight="1">
      <c r="A87" s="1" t="s">
        <v>677</v>
      </c>
      <c r="C87" s="1" t="s">
        <v>82</v>
      </c>
      <c r="E87" s="16">
        <v>1583</v>
      </c>
      <c r="G87" s="16">
        <v>0</v>
      </c>
      <c r="I87" s="16">
        <v>7768</v>
      </c>
      <c r="K87" s="16">
        <v>0</v>
      </c>
      <c r="M87" s="16">
        <v>0</v>
      </c>
      <c r="O87" s="16">
        <v>0</v>
      </c>
      <c r="Q87" s="16">
        <v>55</v>
      </c>
      <c r="S87" s="16">
        <v>27898</v>
      </c>
      <c r="U87" s="16">
        <v>0</v>
      </c>
      <c r="W87" s="16">
        <v>0</v>
      </c>
      <c r="Y87" s="16">
        <v>0</v>
      </c>
      <c r="AA87" s="16">
        <v>0</v>
      </c>
      <c r="AC87" s="16">
        <v>0</v>
      </c>
      <c r="AE87" s="32">
        <f t="shared" si="1"/>
        <v>37304</v>
      </c>
    </row>
    <row r="88" spans="1:31" ht="12.75" customHeight="1">
      <c r="A88" s="1" t="s">
        <v>140</v>
      </c>
      <c r="C88" s="1" t="s">
        <v>71</v>
      </c>
      <c r="D88" s="16"/>
      <c r="E88" s="16">
        <v>57707</v>
      </c>
      <c r="G88" s="16">
        <v>0</v>
      </c>
      <c r="I88" s="16">
        <v>3880</v>
      </c>
      <c r="K88" s="16">
        <v>0</v>
      </c>
      <c r="M88" s="16">
        <v>0</v>
      </c>
      <c r="O88" s="16">
        <v>29030</v>
      </c>
      <c r="Q88" s="16">
        <v>355</v>
      </c>
      <c r="S88" s="16">
        <v>5732</v>
      </c>
      <c r="U88" s="16">
        <v>0</v>
      </c>
      <c r="W88" s="16">
        <v>0</v>
      </c>
      <c r="Y88" s="16">
        <v>0</v>
      </c>
      <c r="AA88" s="16">
        <v>0</v>
      </c>
      <c r="AC88" s="16">
        <v>0</v>
      </c>
      <c r="AE88" s="32">
        <f t="shared" si="1"/>
        <v>96704</v>
      </c>
    </row>
    <row r="89" spans="1:31" ht="12.75" customHeight="1">
      <c r="A89" s="1" t="s">
        <v>613</v>
      </c>
      <c r="C89" s="1" t="s">
        <v>231</v>
      </c>
      <c r="E89" s="16">
        <v>177747</v>
      </c>
      <c r="G89" s="16">
        <v>0</v>
      </c>
      <c r="I89" s="16">
        <v>51648</v>
      </c>
      <c r="K89" s="16">
        <v>0</v>
      </c>
      <c r="M89" s="16">
        <v>19800</v>
      </c>
      <c r="O89" s="16">
        <v>35498</v>
      </c>
      <c r="Q89" s="16">
        <v>3057</v>
      </c>
      <c r="S89" s="16">
        <v>23991</v>
      </c>
      <c r="U89" s="16">
        <v>0</v>
      </c>
      <c r="W89" s="16">
        <v>0</v>
      </c>
      <c r="Y89" s="16">
        <v>0</v>
      </c>
      <c r="AA89" s="16">
        <v>0</v>
      </c>
      <c r="AC89" s="16">
        <v>0</v>
      </c>
      <c r="AE89" s="32">
        <f t="shared" si="1"/>
        <v>311741</v>
      </c>
    </row>
    <row r="90" spans="1:31" ht="12.75" customHeight="1">
      <c r="A90" s="1" t="s">
        <v>461</v>
      </c>
      <c r="C90" s="1" t="s">
        <v>177</v>
      </c>
      <c r="E90" s="16">
        <v>6905</v>
      </c>
      <c r="G90" s="16">
        <v>0</v>
      </c>
      <c r="I90" s="16">
        <v>77682</v>
      </c>
      <c r="K90" s="16">
        <v>0</v>
      </c>
      <c r="M90" s="16">
        <v>40015</v>
      </c>
      <c r="O90" s="16">
        <v>0</v>
      </c>
      <c r="Q90" s="16">
        <v>126</v>
      </c>
      <c r="S90" s="16">
        <v>579</v>
      </c>
      <c r="U90" s="16">
        <v>0</v>
      </c>
      <c r="W90" s="16">
        <v>0</v>
      </c>
      <c r="Y90" s="16">
        <v>0</v>
      </c>
      <c r="AA90" s="16">
        <v>0</v>
      </c>
      <c r="AC90" s="16">
        <v>0</v>
      </c>
      <c r="AE90" s="32">
        <f t="shared" si="1"/>
        <v>125307</v>
      </c>
    </row>
    <row r="91" spans="1:31" ht="12.75" customHeight="1">
      <c r="A91" s="1" t="s">
        <v>760</v>
      </c>
      <c r="C91" s="1" t="s">
        <v>84</v>
      </c>
      <c r="E91" s="16">
        <v>23145</v>
      </c>
      <c r="G91" s="16">
        <v>0</v>
      </c>
      <c r="I91" s="16">
        <v>18891</v>
      </c>
      <c r="K91" s="16">
        <v>0</v>
      </c>
      <c r="M91" s="16">
        <v>0</v>
      </c>
      <c r="O91" s="16">
        <v>0</v>
      </c>
      <c r="Q91" s="16">
        <v>464</v>
      </c>
      <c r="S91" s="16">
        <v>120</v>
      </c>
      <c r="U91" s="16">
        <v>0</v>
      </c>
      <c r="W91" s="16">
        <v>0</v>
      </c>
      <c r="Y91" s="16">
        <v>0</v>
      </c>
      <c r="AA91" s="16">
        <v>0</v>
      </c>
      <c r="AC91" s="16">
        <v>0</v>
      </c>
      <c r="AE91" s="32">
        <f t="shared" si="1"/>
        <v>42620</v>
      </c>
    </row>
    <row r="92" spans="1:31" ht="12.75" customHeight="1">
      <c r="A92" s="1" t="s">
        <v>141</v>
      </c>
      <c r="C92" s="1" t="s">
        <v>142</v>
      </c>
      <c r="D92" s="16"/>
      <c r="E92" s="16">
        <v>11678</v>
      </c>
      <c r="G92" s="16">
        <v>0</v>
      </c>
      <c r="I92" s="16">
        <v>12808</v>
      </c>
      <c r="K92" s="16">
        <v>0</v>
      </c>
      <c r="M92" s="16">
        <v>0</v>
      </c>
      <c r="O92" s="16">
        <v>0</v>
      </c>
      <c r="Q92" s="16">
        <v>80</v>
      </c>
      <c r="S92" s="16">
        <v>248</v>
      </c>
      <c r="U92" s="16">
        <v>0</v>
      </c>
      <c r="W92" s="16">
        <v>0</v>
      </c>
      <c r="Y92" s="16">
        <v>0</v>
      </c>
      <c r="AA92" s="16">
        <v>0</v>
      </c>
      <c r="AC92" s="16">
        <v>0</v>
      </c>
      <c r="AE92" s="32">
        <f t="shared" si="1"/>
        <v>24814</v>
      </c>
    </row>
    <row r="93" spans="1:31" ht="12.75" customHeight="1">
      <c r="A93" s="1" t="s">
        <v>143</v>
      </c>
      <c r="C93" s="1" t="s">
        <v>435</v>
      </c>
      <c r="D93" s="16"/>
      <c r="E93" s="16">
        <f>5081</f>
        <v>5081</v>
      </c>
      <c r="G93" s="16">
        <v>0</v>
      </c>
      <c r="I93" s="16">
        <f>25662+0</f>
        <v>25662</v>
      </c>
      <c r="K93" s="16">
        <v>0</v>
      </c>
      <c r="M93" s="16">
        <v>0</v>
      </c>
      <c r="O93" s="16">
        <v>0</v>
      </c>
      <c r="Q93" s="16">
        <v>534</v>
      </c>
      <c r="S93" s="16">
        <v>4937</v>
      </c>
      <c r="U93" s="16">
        <v>0</v>
      </c>
      <c r="W93" s="16">
        <v>0</v>
      </c>
      <c r="Y93" s="16">
        <v>0</v>
      </c>
      <c r="AA93" s="16">
        <v>0</v>
      </c>
      <c r="AC93" s="16">
        <v>0</v>
      </c>
      <c r="AE93" s="32">
        <f t="shared" si="1"/>
        <v>36214</v>
      </c>
    </row>
    <row r="94" spans="1:31" ht="12.75" customHeight="1">
      <c r="A94" s="1" t="s">
        <v>144</v>
      </c>
      <c r="C94" s="1" t="s">
        <v>145</v>
      </c>
      <c r="D94" s="1"/>
      <c r="E94" s="16">
        <v>77738</v>
      </c>
      <c r="G94" s="16">
        <v>0</v>
      </c>
      <c r="I94" s="16">
        <v>46472</v>
      </c>
      <c r="K94" s="16">
        <v>0</v>
      </c>
      <c r="M94" s="16">
        <v>14903</v>
      </c>
      <c r="O94" s="16">
        <v>895</v>
      </c>
      <c r="Q94" s="16">
        <v>0</v>
      </c>
      <c r="S94" s="16">
        <v>127476</v>
      </c>
      <c r="U94" s="16">
        <v>0</v>
      </c>
      <c r="W94" s="16">
        <v>0</v>
      </c>
      <c r="Y94" s="16">
        <v>0</v>
      </c>
      <c r="AA94" s="16">
        <v>0</v>
      </c>
      <c r="AC94" s="16">
        <v>0</v>
      </c>
      <c r="AE94" s="32">
        <f t="shared" si="1"/>
        <v>267484</v>
      </c>
    </row>
    <row r="95" spans="1:31" ht="12.75" customHeight="1">
      <c r="A95" s="1" t="s">
        <v>146</v>
      </c>
      <c r="C95" s="1" t="s">
        <v>147</v>
      </c>
      <c r="D95" s="16"/>
      <c r="E95" s="16">
        <v>110328</v>
      </c>
      <c r="G95" s="16">
        <v>0</v>
      </c>
      <c r="I95" s="16">
        <v>37180</v>
      </c>
      <c r="K95" s="16">
        <v>0</v>
      </c>
      <c r="M95" s="16">
        <v>0</v>
      </c>
      <c r="O95" s="16">
        <v>16428</v>
      </c>
      <c r="Q95" s="16">
        <v>418</v>
      </c>
      <c r="S95" s="16">
        <v>31925</v>
      </c>
      <c r="U95" s="16">
        <v>0</v>
      </c>
      <c r="W95" s="16">
        <v>0</v>
      </c>
      <c r="Y95" s="16">
        <v>0</v>
      </c>
      <c r="AA95" s="16">
        <v>0</v>
      </c>
      <c r="AC95" s="16">
        <v>0</v>
      </c>
      <c r="AE95" s="32">
        <f t="shared" si="1"/>
        <v>196279</v>
      </c>
    </row>
    <row r="96" spans="1:31" ht="12.75" customHeight="1">
      <c r="A96" s="1" t="s">
        <v>752</v>
      </c>
      <c r="C96" s="1" t="s">
        <v>172</v>
      </c>
      <c r="E96" s="16">
        <v>2794</v>
      </c>
      <c r="G96" s="16">
        <v>0</v>
      </c>
      <c r="I96" s="16">
        <v>3458</v>
      </c>
      <c r="K96" s="16">
        <v>0</v>
      </c>
      <c r="M96" s="16">
        <v>0</v>
      </c>
      <c r="O96" s="16">
        <v>400</v>
      </c>
      <c r="Q96" s="16">
        <v>0</v>
      </c>
      <c r="S96" s="16">
        <v>0</v>
      </c>
      <c r="U96" s="16">
        <v>0</v>
      </c>
      <c r="W96" s="16">
        <v>0</v>
      </c>
      <c r="Y96" s="16">
        <v>0</v>
      </c>
      <c r="AA96" s="16">
        <v>0</v>
      </c>
      <c r="AC96" s="16">
        <v>3560</v>
      </c>
      <c r="AE96" s="32">
        <f t="shared" si="1"/>
        <v>10212</v>
      </c>
    </row>
    <row r="97" spans="1:31" ht="12.75" customHeight="1">
      <c r="A97" s="1" t="s">
        <v>557</v>
      </c>
      <c r="C97" s="1" t="s">
        <v>199</v>
      </c>
      <c r="E97" s="16">
        <v>99395</v>
      </c>
      <c r="G97" s="16">
        <v>447451</v>
      </c>
      <c r="I97" s="16">
        <v>129202</v>
      </c>
      <c r="K97" s="16">
        <v>152</v>
      </c>
      <c r="M97" s="16">
        <v>0</v>
      </c>
      <c r="O97" s="16">
        <v>13017</v>
      </c>
      <c r="Q97" s="16">
        <v>6391</v>
      </c>
      <c r="S97" s="16">
        <v>37099</v>
      </c>
      <c r="U97" s="16">
        <v>0</v>
      </c>
      <c r="W97" s="16">
        <v>0</v>
      </c>
      <c r="Y97" s="16">
        <v>0</v>
      </c>
      <c r="AA97" s="16">
        <v>0</v>
      </c>
      <c r="AC97" s="16">
        <v>0</v>
      </c>
      <c r="AE97" s="32">
        <f t="shared" si="1"/>
        <v>732707</v>
      </c>
    </row>
    <row r="98" spans="1:31" ht="12.75" customHeight="1">
      <c r="A98" s="1" t="s">
        <v>578</v>
      </c>
      <c r="C98" s="1" t="s">
        <v>133</v>
      </c>
      <c r="E98" s="16">
        <v>95739</v>
      </c>
      <c r="G98" s="16">
        <v>633018</v>
      </c>
      <c r="I98" s="16">
        <v>132108</v>
      </c>
      <c r="K98" s="16">
        <v>867</v>
      </c>
      <c r="M98" s="16">
        <v>149736</v>
      </c>
      <c r="O98" s="16">
        <v>37829</v>
      </c>
      <c r="Q98" s="16">
        <v>22211</v>
      </c>
      <c r="S98" s="16">
        <v>1030</v>
      </c>
      <c r="U98" s="16">
        <v>0</v>
      </c>
      <c r="W98" s="16">
        <v>0</v>
      </c>
      <c r="Y98" s="16">
        <v>0</v>
      </c>
      <c r="AA98" s="16">
        <v>66000</v>
      </c>
      <c r="AC98" s="16">
        <v>21103</v>
      </c>
      <c r="AE98" s="32">
        <f t="shared" si="1"/>
        <v>1159641</v>
      </c>
    </row>
    <row r="99" spans="1:31" ht="12.75" customHeight="1">
      <c r="A99" s="1" t="s">
        <v>436</v>
      </c>
      <c r="C99" s="1" t="s">
        <v>104</v>
      </c>
      <c r="E99" s="16">
        <v>34489</v>
      </c>
      <c r="G99" s="16">
        <v>0</v>
      </c>
      <c r="I99" s="16">
        <v>27043</v>
      </c>
      <c r="K99" s="16">
        <v>0</v>
      </c>
      <c r="M99" s="16">
        <v>700</v>
      </c>
      <c r="O99" s="16">
        <v>2481</v>
      </c>
      <c r="Q99" s="16">
        <v>140874</v>
      </c>
      <c r="S99" s="16">
        <v>54054</v>
      </c>
      <c r="U99" s="16">
        <v>0</v>
      </c>
      <c r="W99" s="16">
        <v>0</v>
      </c>
      <c r="Y99" s="16">
        <v>0</v>
      </c>
      <c r="AA99" s="16">
        <v>0</v>
      </c>
      <c r="AC99" s="16">
        <v>0</v>
      </c>
      <c r="AE99" s="32">
        <f t="shared" si="1"/>
        <v>259641</v>
      </c>
    </row>
    <row r="100" spans="1:31" ht="12.75" customHeight="1">
      <c r="A100" s="1" t="s">
        <v>635</v>
      </c>
      <c r="C100" s="1" t="s">
        <v>268</v>
      </c>
      <c r="E100" s="16">
        <v>51068</v>
      </c>
      <c r="G100" s="16">
        <v>0</v>
      </c>
      <c r="I100" s="16">
        <v>36255</v>
      </c>
      <c r="K100" s="16">
        <v>0</v>
      </c>
      <c r="M100" s="16">
        <v>0</v>
      </c>
      <c r="O100" s="16">
        <v>3242</v>
      </c>
      <c r="Q100" s="16">
        <v>3561</v>
      </c>
      <c r="S100" s="16">
        <v>5595</v>
      </c>
      <c r="U100" s="16">
        <v>0</v>
      </c>
      <c r="W100" s="16">
        <v>0</v>
      </c>
      <c r="Y100" s="16">
        <v>0</v>
      </c>
      <c r="AA100" s="16">
        <v>280</v>
      </c>
      <c r="AC100" s="16">
        <v>0</v>
      </c>
      <c r="AE100" s="32">
        <f t="shared" si="1"/>
        <v>100001</v>
      </c>
    </row>
    <row r="101" spans="1:31" ht="12.75" customHeight="1">
      <c r="A101" s="1" t="s">
        <v>695</v>
      </c>
      <c r="C101" s="1" t="s">
        <v>225</v>
      </c>
      <c r="E101" s="16">
        <v>204094</v>
      </c>
      <c r="G101" s="16">
        <v>0</v>
      </c>
      <c r="I101" s="16">
        <v>73396</v>
      </c>
      <c r="K101" s="16">
        <v>0</v>
      </c>
      <c r="M101" s="16">
        <v>2337</v>
      </c>
      <c r="O101" s="16">
        <v>19363</v>
      </c>
      <c r="Q101" s="16">
        <v>4445</v>
      </c>
      <c r="S101" s="16">
        <v>64228</v>
      </c>
      <c r="U101" s="16">
        <v>0</v>
      </c>
      <c r="W101" s="16">
        <v>0</v>
      </c>
      <c r="Y101" s="16">
        <v>0</v>
      </c>
      <c r="AA101" s="16">
        <v>0</v>
      </c>
      <c r="AC101" s="16">
        <v>0</v>
      </c>
      <c r="AE101" s="32">
        <f t="shared" si="1"/>
        <v>367863</v>
      </c>
    </row>
    <row r="102" spans="1:31" ht="12.75" customHeight="1">
      <c r="A102" s="1" t="s">
        <v>148</v>
      </c>
      <c r="C102" s="1" t="s">
        <v>149</v>
      </c>
      <c r="D102" s="16"/>
      <c r="E102" s="16">
        <v>3322123</v>
      </c>
      <c r="G102" s="16">
        <v>0</v>
      </c>
      <c r="I102" s="16">
        <v>269171</v>
      </c>
      <c r="K102" s="16">
        <v>0</v>
      </c>
      <c r="M102" s="16">
        <v>195115</v>
      </c>
      <c r="O102" s="16">
        <v>593227</v>
      </c>
      <c r="Q102" s="16">
        <v>57651</v>
      </c>
      <c r="S102" s="16">
        <v>971236</v>
      </c>
      <c r="U102" s="16">
        <v>0</v>
      </c>
      <c r="W102" s="16">
        <v>0</v>
      </c>
      <c r="Y102" s="16">
        <v>0</v>
      </c>
      <c r="AA102" s="16">
        <v>0</v>
      </c>
      <c r="AC102" s="16">
        <v>0</v>
      </c>
      <c r="AE102" s="32">
        <f t="shared" si="1"/>
        <v>5408523</v>
      </c>
    </row>
    <row r="103" spans="1:31" ht="12.75" customHeight="1">
      <c r="A103" s="1" t="s">
        <v>664</v>
      </c>
      <c r="C103" s="1" t="s">
        <v>309</v>
      </c>
      <c r="E103" s="16">
        <v>196712</v>
      </c>
      <c r="G103" s="16">
        <v>0</v>
      </c>
      <c r="I103" s="16">
        <v>47366</v>
      </c>
      <c r="K103" s="16">
        <v>1181</v>
      </c>
      <c r="M103" s="16">
        <v>7135</v>
      </c>
      <c r="O103" s="16">
        <v>36080</v>
      </c>
      <c r="Q103" s="16">
        <v>11784</v>
      </c>
      <c r="S103" s="16">
        <v>6237</v>
      </c>
      <c r="U103" s="16">
        <v>22000</v>
      </c>
      <c r="W103" s="16">
        <v>0</v>
      </c>
      <c r="Y103" s="16">
        <v>184000</v>
      </c>
      <c r="AA103" s="16">
        <v>0</v>
      </c>
      <c r="AC103" s="16">
        <v>112</v>
      </c>
      <c r="AE103" s="32">
        <f t="shared" si="1"/>
        <v>512607</v>
      </c>
    </row>
    <row r="104" spans="1:31" ht="12.75" customHeight="1">
      <c r="A104" s="1" t="s">
        <v>150</v>
      </c>
      <c r="C104" s="1" t="s">
        <v>151</v>
      </c>
      <c r="D104" s="16"/>
      <c r="E104" s="16">
        <v>477110</v>
      </c>
      <c r="G104" s="16">
        <v>0</v>
      </c>
      <c r="I104" s="16">
        <v>101566</v>
      </c>
      <c r="K104" s="16">
        <v>0</v>
      </c>
      <c r="M104" s="16">
        <v>5138</v>
      </c>
      <c r="O104" s="16">
        <v>12269</v>
      </c>
      <c r="Q104" s="16">
        <v>209778</v>
      </c>
      <c r="S104" s="16">
        <v>31936</v>
      </c>
      <c r="U104" s="16">
        <v>0</v>
      </c>
      <c r="W104" s="16">
        <v>0</v>
      </c>
      <c r="Y104" s="16">
        <v>400000</v>
      </c>
      <c r="AA104" s="16">
        <v>0</v>
      </c>
      <c r="AC104" s="16">
        <v>27874</v>
      </c>
      <c r="AE104" s="32">
        <f t="shared" si="1"/>
        <v>1265671</v>
      </c>
    </row>
    <row r="105" spans="1:31" ht="12.75" customHeight="1">
      <c r="A105" s="1" t="s">
        <v>153</v>
      </c>
      <c r="C105" s="1" t="s">
        <v>98</v>
      </c>
      <c r="E105" s="16">
        <v>20825</v>
      </c>
      <c r="G105" s="16">
        <v>124649</v>
      </c>
      <c r="I105" s="16">
        <v>18962</v>
      </c>
      <c r="K105" s="16">
        <v>0</v>
      </c>
      <c r="M105" s="16">
        <v>0</v>
      </c>
      <c r="O105" s="16">
        <v>15046</v>
      </c>
      <c r="Q105" s="16">
        <v>7577</v>
      </c>
      <c r="S105" s="16">
        <v>4308</v>
      </c>
      <c r="U105" s="16">
        <v>0</v>
      </c>
      <c r="W105" s="16">
        <v>0</v>
      </c>
      <c r="Y105" s="16">
        <v>0</v>
      </c>
      <c r="AA105" s="16">
        <v>0</v>
      </c>
      <c r="AC105" s="16">
        <v>0</v>
      </c>
      <c r="AE105" s="32">
        <f t="shared" si="1"/>
        <v>191367</v>
      </c>
    </row>
    <row r="106" spans="1:31" ht="12.75" customHeight="1">
      <c r="A106" s="1" t="s">
        <v>152</v>
      </c>
      <c r="C106" s="1" t="s">
        <v>153</v>
      </c>
      <c r="D106" s="16"/>
      <c r="E106" s="16">
        <v>175245</v>
      </c>
      <c r="G106" s="16">
        <v>0</v>
      </c>
      <c r="I106" s="16">
        <v>95877</v>
      </c>
      <c r="K106" s="16">
        <v>0</v>
      </c>
      <c r="M106" s="16">
        <v>9912</v>
      </c>
      <c r="O106" s="16">
        <v>82211</v>
      </c>
      <c r="Q106" s="16">
        <v>6296</v>
      </c>
      <c r="S106" s="16">
        <v>12944</v>
      </c>
      <c r="U106" s="16">
        <v>0</v>
      </c>
      <c r="W106" s="16">
        <v>4180</v>
      </c>
      <c r="Y106" s="16">
        <v>640000</v>
      </c>
      <c r="AA106" s="16">
        <v>0</v>
      </c>
      <c r="AC106" s="16">
        <v>0</v>
      </c>
      <c r="AE106" s="32">
        <f t="shared" si="1"/>
        <v>1026665</v>
      </c>
    </row>
    <row r="107" spans="1:31" ht="12.75" customHeight="1">
      <c r="A107" s="1" t="s">
        <v>154</v>
      </c>
      <c r="C107" s="1" t="s">
        <v>155</v>
      </c>
      <c r="D107" s="16"/>
      <c r="E107" s="16">
        <v>12065</v>
      </c>
      <c r="G107" s="16">
        <v>0</v>
      </c>
      <c r="I107" s="16">
        <v>21151</v>
      </c>
      <c r="K107" s="16">
        <v>5601</v>
      </c>
      <c r="M107" s="16">
        <v>0</v>
      </c>
      <c r="O107" s="16">
        <v>22</v>
      </c>
      <c r="Q107" s="16">
        <v>5027</v>
      </c>
      <c r="S107" s="16">
        <v>1329</v>
      </c>
      <c r="U107" s="16">
        <v>0</v>
      </c>
      <c r="W107" s="16">
        <v>0</v>
      </c>
      <c r="Y107" s="16">
        <v>0</v>
      </c>
      <c r="AA107" s="16">
        <v>0</v>
      </c>
      <c r="AC107" s="16">
        <v>0</v>
      </c>
      <c r="AE107" s="32">
        <f t="shared" si="1"/>
        <v>45195</v>
      </c>
    </row>
    <row r="108" spans="1:31" ht="12.75" customHeight="1">
      <c r="A108" s="1" t="s">
        <v>529</v>
      </c>
      <c r="C108" s="1" t="s">
        <v>261</v>
      </c>
      <c r="E108" s="16">
        <v>118478</v>
      </c>
      <c r="G108" s="16">
        <v>0</v>
      </c>
      <c r="I108" s="16">
        <v>62889</v>
      </c>
      <c r="K108" s="16">
        <v>0</v>
      </c>
      <c r="M108" s="16">
        <v>0</v>
      </c>
      <c r="O108" s="16">
        <v>31106</v>
      </c>
      <c r="Q108" s="16">
        <v>930</v>
      </c>
      <c r="S108" s="16">
        <v>15454</v>
      </c>
      <c r="U108" s="16">
        <v>0</v>
      </c>
      <c r="W108" s="16">
        <v>0</v>
      </c>
      <c r="Y108" s="16">
        <v>0</v>
      </c>
      <c r="AA108" s="16">
        <v>0</v>
      </c>
      <c r="AC108" s="16">
        <v>0</v>
      </c>
      <c r="AE108" s="32">
        <f t="shared" si="1"/>
        <v>228857</v>
      </c>
    </row>
    <row r="109" spans="1:31" ht="12.75" customHeight="1">
      <c r="A109" s="1" t="s">
        <v>520</v>
      </c>
      <c r="C109" s="1" t="s">
        <v>78</v>
      </c>
      <c r="E109" s="16">
        <v>273</v>
      </c>
      <c r="G109" s="16">
        <v>0</v>
      </c>
      <c r="I109" s="16">
        <v>27051</v>
      </c>
      <c r="K109" s="16">
        <v>115</v>
      </c>
      <c r="M109" s="16">
        <v>80</v>
      </c>
      <c r="O109" s="16">
        <v>507</v>
      </c>
      <c r="Q109" s="16">
        <v>902</v>
      </c>
      <c r="S109" s="16">
        <v>22</v>
      </c>
      <c r="U109" s="16">
        <v>0</v>
      </c>
      <c r="W109" s="16">
        <v>0</v>
      </c>
      <c r="Y109" s="16">
        <v>0</v>
      </c>
      <c r="AA109" s="16">
        <v>0</v>
      </c>
      <c r="AC109" s="16">
        <v>0</v>
      </c>
      <c r="AE109" s="32">
        <f t="shared" si="1"/>
        <v>28950</v>
      </c>
    </row>
    <row r="110" spans="1:31" ht="12.75" customHeight="1">
      <c r="A110" s="1" t="s">
        <v>487</v>
      </c>
      <c r="C110" s="1" t="s">
        <v>194</v>
      </c>
      <c r="E110" s="16">
        <v>4310</v>
      </c>
      <c r="G110" s="16">
        <v>29627</v>
      </c>
      <c r="I110" s="16">
        <v>8405</v>
      </c>
      <c r="K110" s="16">
        <v>0</v>
      </c>
      <c r="M110" s="16">
        <v>7625</v>
      </c>
      <c r="O110" s="16">
        <v>3293</v>
      </c>
      <c r="Q110" s="16">
        <v>108</v>
      </c>
      <c r="S110" s="16">
        <v>368</v>
      </c>
      <c r="U110" s="16">
        <v>0</v>
      </c>
      <c r="W110" s="16">
        <v>0</v>
      </c>
      <c r="Y110" s="16">
        <v>0</v>
      </c>
      <c r="AA110" s="16">
        <v>0</v>
      </c>
      <c r="AC110" s="16">
        <v>0</v>
      </c>
      <c r="AE110" s="32">
        <f t="shared" si="1"/>
        <v>53736</v>
      </c>
    </row>
    <row r="111" spans="1:31" ht="12.75" customHeight="1">
      <c r="A111" s="1" t="s">
        <v>678</v>
      </c>
      <c r="C111" s="1" t="s">
        <v>82</v>
      </c>
      <c r="E111" s="16">
        <v>7139</v>
      </c>
      <c r="G111" s="16">
        <v>9242</v>
      </c>
      <c r="I111" s="16">
        <v>16550</v>
      </c>
      <c r="K111" s="16">
        <v>0</v>
      </c>
      <c r="M111" s="16">
        <v>375</v>
      </c>
      <c r="O111" s="16">
        <v>1088</v>
      </c>
      <c r="Q111" s="16">
        <v>154</v>
      </c>
      <c r="S111" s="16">
        <v>76</v>
      </c>
      <c r="U111" s="16">
        <v>0</v>
      </c>
      <c r="W111" s="16">
        <v>0</v>
      </c>
      <c r="Y111" s="16">
        <v>0</v>
      </c>
      <c r="AA111" s="16">
        <v>0</v>
      </c>
      <c r="AC111" s="16">
        <v>0</v>
      </c>
      <c r="AE111" s="32">
        <f t="shared" si="1"/>
        <v>34624</v>
      </c>
    </row>
    <row r="112" spans="1:31" ht="12.75" customHeight="1">
      <c r="A112" s="1" t="s">
        <v>156</v>
      </c>
      <c r="C112" s="1" t="s">
        <v>157</v>
      </c>
      <c r="D112" s="16"/>
      <c r="E112" s="16">
        <v>15807</v>
      </c>
      <c r="G112" s="16">
        <v>408057</v>
      </c>
      <c r="I112" s="16">
        <v>177014</v>
      </c>
      <c r="K112" s="16">
        <v>0</v>
      </c>
      <c r="M112" s="16">
        <v>0</v>
      </c>
      <c r="O112" s="16">
        <v>335</v>
      </c>
      <c r="Q112" s="16">
        <v>5917</v>
      </c>
      <c r="S112" s="16">
        <v>21313</v>
      </c>
      <c r="U112" s="16">
        <v>0</v>
      </c>
      <c r="W112" s="16">
        <v>0</v>
      </c>
      <c r="Y112" s="16">
        <v>0</v>
      </c>
      <c r="AA112" s="16">
        <v>0</v>
      </c>
      <c r="AC112" s="16">
        <v>0</v>
      </c>
      <c r="AE112" s="32">
        <f t="shared" si="1"/>
        <v>628443</v>
      </c>
    </row>
    <row r="113" spans="1:31" ht="12.75" customHeight="1">
      <c r="A113" s="1" t="s">
        <v>604</v>
      </c>
      <c r="C113" s="1" t="s">
        <v>182</v>
      </c>
      <c r="E113" s="16">
        <v>42181</v>
      </c>
      <c r="G113" s="16">
        <v>276584</v>
      </c>
      <c r="I113" s="16">
        <v>113477</v>
      </c>
      <c r="K113" s="16">
        <v>0</v>
      </c>
      <c r="M113" s="16">
        <v>0</v>
      </c>
      <c r="O113" s="16">
        <v>13936</v>
      </c>
      <c r="Q113" s="16">
        <v>1555</v>
      </c>
      <c r="S113" s="16">
        <v>34623</v>
      </c>
      <c r="U113" s="16">
        <v>0</v>
      </c>
      <c r="W113" s="16">
        <v>0</v>
      </c>
      <c r="Y113" s="16">
        <v>0</v>
      </c>
      <c r="AA113" s="16">
        <v>0</v>
      </c>
      <c r="AC113" s="16">
        <v>89269</v>
      </c>
      <c r="AE113" s="32">
        <f t="shared" si="1"/>
        <v>571625</v>
      </c>
    </row>
    <row r="114" spans="1:31" ht="12.75" customHeight="1">
      <c r="A114" s="1" t="s">
        <v>550</v>
      </c>
      <c r="C114" s="1" t="s">
        <v>210</v>
      </c>
      <c r="E114" s="16">
        <v>2084</v>
      </c>
      <c r="G114" s="16">
        <v>0</v>
      </c>
      <c r="I114" s="16">
        <v>76106</v>
      </c>
      <c r="K114" s="16">
        <v>0</v>
      </c>
      <c r="M114" s="16">
        <v>1741</v>
      </c>
      <c r="O114" s="16">
        <v>0</v>
      </c>
      <c r="Q114" s="16">
        <v>18</v>
      </c>
      <c r="S114" s="16">
        <v>9608</v>
      </c>
      <c r="U114" s="16">
        <v>0</v>
      </c>
      <c r="W114" s="16">
        <v>0</v>
      </c>
      <c r="Y114" s="16">
        <v>0</v>
      </c>
      <c r="AA114" s="16">
        <v>0</v>
      </c>
      <c r="AC114" s="16">
        <v>2143</v>
      </c>
      <c r="AE114" s="32">
        <f t="shared" si="1"/>
        <v>91700</v>
      </c>
    </row>
    <row r="115" spans="1:31" ht="12.75" customHeight="1">
      <c r="A115" s="1" t="s">
        <v>158</v>
      </c>
      <c r="C115" s="1" t="s">
        <v>112</v>
      </c>
      <c r="D115" s="16"/>
      <c r="E115" s="16">
        <v>899825</v>
      </c>
      <c r="G115" s="16">
        <v>2021022</v>
      </c>
      <c r="I115" s="16">
        <v>665127</v>
      </c>
      <c r="K115" s="16">
        <v>0</v>
      </c>
      <c r="M115" s="16">
        <v>279018</v>
      </c>
      <c r="O115" s="16">
        <v>77703</v>
      </c>
      <c r="Q115" s="16">
        <v>45462</v>
      </c>
      <c r="S115" s="16">
        <v>20602</v>
      </c>
      <c r="U115" s="16">
        <v>0</v>
      </c>
      <c r="W115" s="16">
        <v>0</v>
      </c>
      <c r="Y115" s="16">
        <v>1682</v>
      </c>
      <c r="AA115" s="16">
        <v>0</v>
      </c>
      <c r="AC115" s="16">
        <v>0</v>
      </c>
      <c r="AE115" s="32">
        <f t="shared" si="1"/>
        <v>4010441</v>
      </c>
    </row>
    <row r="116" spans="1:31" ht="12.75" customHeight="1">
      <c r="A116" s="1" t="s">
        <v>159</v>
      </c>
      <c r="C116" s="1" t="s">
        <v>160</v>
      </c>
      <c r="D116" s="16"/>
      <c r="E116" s="16">
        <v>3723</v>
      </c>
      <c r="G116" s="16">
        <v>0</v>
      </c>
      <c r="I116" s="16">
        <v>23156</v>
      </c>
      <c r="K116" s="16">
        <v>0</v>
      </c>
      <c r="M116" s="16">
        <v>0</v>
      </c>
      <c r="O116" s="16">
        <v>225</v>
      </c>
      <c r="Q116" s="16">
        <v>307</v>
      </c>
      <c r="S116" s="16">
        <v>1061</v>
      </c>
      <c r="U116" s="16">
        <v>0</v>
      </c>
      <c r="W116" s="16">
        <v>0</v>
      </c>
      <c r="Y116" s="16">
        <v>0</v>
      </c>
      <c r="AA116" s="16">
        <v>0</v>
      </c>
      <c r="AC116" s="16">
        <v>0</v>
      </c>
      <c r="AE116" s="32">
        <f t="shared" si="1"/>
        <v>28472</v>
      </c>
    </row>
    <row r="117" spans="1:31" ht="12.75" customHeight="1">
      <c r="A117" s="1" t="s">
        <v>161</v>
      </c>
      <c r="C117" s="30" t="s">
        <v>162</v>
      </c>
      <c r="D117" s="16"/>
      <c r="E117" s="16">
        <v>8711</v>
      </c>
      <c r="G117" s="16">
        <v>0</v>
      </c>
      <c r="I117" s="16">
        <v>2058</v>
      </c>
      <c r="K117" s="16">
        <v>0</v>
      </c>
      <c r="M117" s="16">
        <v>0</v>
      </c>
      <c r="O117" s="16">
        <v>1105</v>
      </c>
      <c r="Q117" s="16">
        <v>64</v>
      </c>
      <c r="S117" s="16">
        <v>76</v>
      </c>
      <c r="U117" s="16">
        <v>0</v>
      </c>
      <c r="W117" s="16">
        <v>0</v>
      </c>
      <c r="Y117" s="16">
        <v>0</v>
      </c>
      <c r="AA117" s="16">
        <v>0</v>
      </c>
      <c r="AC117" s="16">
        <v>0</v>
      </c>
      <c r="AE117" s="32">
        <f t="shared" si="1"/>
        <v>12014</v>
      </c>
    </row>
    <row r="118" spans="1:31" ht="12.75" customHeight="1">
      <c r="A118" s="1" t="s">
        <v>163</v>
      </c>
      <c r="C118" s="1" t="s">
        <v>164</v>
      </c>
      <c r="D118" s="16"/>
      <c r="E118" s="16">
        <v>19996</v>
      </c>
      <c r="G118" s="16">
        <v>0</v>
      </c>
      <c r="I118" s="16">
        <v>44497</v>
      </c>
      <c r="K118" s="16">
        <v>0</v>
      </c>
      <c r="M118" s="16">
        <v>0</v>
      </c>
      <c r="O118" s="16">
        <v>169394</v>
      </c>
      <c r="Q118" s="16">
        <v>2845</v>
      </c>
      <c r="S118" s="16">
        <v>-302</v>
      </c>
      <c r="U118" s="16">
        <v>0</v>
      </c>
      <c r="W118" s="16">
        <v>0</v>
      </c>
      <c r="Y118" s="16">
        <v>0</v>
      </c>
      <c r="AA118" s="16">
        <v>0</v>
      </c>
      <c r="AC118" s="16">
        <v>0</v>
      </c>
      <c r="AE118" s="32">
        <f t="shared" si="1"/>
        <v>236430</v>
      </c>
    </row>
    <row r="119" spans="1:31" ht="12.75" customHeight="1">
      <c r="A119" s="1" t="s">
        <v>551</v>
      </c>
      <c r="C119" s="1" t="s">
        <v>210</v>
      </c>
      <c r="E119" s="16">
        <v>2306</v>
      </c>
      <c r="G119" s="16">
        <v>0</v>
      </c>
      <c r="I119" s="16">
        <v>80433</v>
      </c>
      <c r="K119" s="16">
        <v>0</v>
      </c>
      <c r="M119" s="16">
        <v>0</v>
      </c>
      <c r="O119" s="16">
        <v>720</v>
      </c>
      <c r="Q119" s="16">
        <v>98</v>
      </c>
      <c r="S119" s="16">
        <v>3679</v>
      </c>
      <c r="U119" s="16">
        <v>0</v>
      </c>
      <c r="W119" s="16">
        <v>0</v>
      </c>
      <c r="Y119" s="16">
        <v>0</v>
      </c>
      <c r="AA119" s="16">
        <v>0</v>
      </c>
      <c r="AC119" s="16">
        <v>0</v>
      </c>
      <c r="AE119" s="32">
        <f t="shared" si="1"/>
        <v>87236</v>
      </c>
    </row>
    <row r="120" spans="1:31" ht="12.75" customHeight="1">
      <c r="A120" s="1" t="s">
        <v>665</v>
      </c>
      <c r="C120" s="1" t="s">
        <v>309</v>
      </c>
      <c r="E120" s="16">
        <v>12560</v>
      </c>
      <c r="G120" s="16">
        <v>0</v>
      </c>
      <c r="I120" s="16">
        <v>16673</v>
      </c>
      <c r="K120" s="16">
        <v>1876</v>
      </c>
      <c r="M120" s="16">
        <v>1782</v>
      </c>
      <c r="O120" s="16">
        <v>813</v>
      </c>
      <c r="Q120" s="16">
        <v>370</v>
      </c>
      <c r="S120" s="16">
        <v>205</v>
      </c>
      <c r="U120" s="16">
        <v>0</v>
      </c>
      <c r="W120" s="16">
        <v>0</v>
      </c>
      <c r="Y120" s="16">
        <v>0</v>
      </c>
      <c r="AA120" s="16">
        <v>0</v>
      </c>
      <c r="AC120" s="16">
        <v>2227</v>
      </c>
      <c r="AE120" s="32">
        <f t="shared" si="1"/>
        <v>36506</v>
      </c>
    </row>
    <row r="121" spans="1:31" ht="12.75" customHeight="1">
      <c r="A121" s="1" t="s">
        <v>650</v>
      </c>
      <c r="C121" s="1" t="s">
        <v>167</v>
      </c>
      <c r="E121" s="16">
        <v>30259</v>
      </c>
      <c r="G121" s="16">
        <v>0</v>
      </c>
      <c r="I121" s="16">
        <v>34288</v>
      </c>
      <c r="K121" s="16">
        <v>0</v>
      </c>
      <c r="M121" s="16">
        <v>1801</v>
      </c>
      <c r="O121" s="16">
        <v>325</v>
      </c>
      <c r="Q121" s="16">
        <v>420</v>
      </c>
      <c r="S121" s="16">
        <v>3932</v>
      </c>
      <c r="U121" s="16">
        <v>0</v>
      </c>
      <c r="W121" s="16">
        <v>0</v>
      </c>
      <c r="Y121" s="16">
        <v>0</v>
      </c>
      <c r="AA121" s="16">
        <v>0</v>
      </c>
      <c r="AC121" s="16">
        <v>0</v>
      </c>
      <c r="AE121" s="32">
        <f t="shared" si="1"/>
        <v>71025</v>
      </c>
    </row>
    <row r="122" spans="1:31" ht="12.75" customHeight="1">
      <c r="A122" s="1" t="s">
        <v>641</v>
      </c>
      <c r="C122" s="1" t="s">
        <v>274</v>
      </c>
      <c r="E122" s="16">
        <v>108417</v>
      </c>
      <c r="G122" s="16">
        <v>0</v>
      </c>
      <c r="I122" s="16">
        <v>52994</v>
      </c>
      <c r="K122" s="16">
        <v>0</v>
      </c>
      <c r="M122" s="16">
        <v>0</v>
      </c>
      <c r="O122" s="16">
        <v>1675</v>
      </c>
      <c r="Q122" s="16">
        <v>886</v>
      </c>
      <c r="S122" s="16">
        <v>9301</v>
      </c>
      <c r="U122" s="16">
        <v>0</v>
      </c>
      <c r="W122" s="16">
        <v>0</v>
      </c>
      <c r="Y122" s="16">
        <v>0</v>
      </c>
      <c r="AA122" s="16">
        <v>0</v>
      </c>
      <c r="AC122" s="16">
        <v>0</v>
      </c>
      <c r="AE122" s="32">
        <f t="shared" si="1"/>
        <v>173273</v>
      </c>
    </row>
    <row r="123" spans="1:31" ht="12.75" customHeight="1">
      <c r="A123" s="1" t="s">
        <v>485</v>
      </c>
      <c r="C123" s="1" t="s">
        <v>312</v>
      </c>
      <c r="E123" s="16">
        <v>11058</v>
      </c>
      <c r="G123" s="16">
        <v>0</v>
      </c>
      <c r="I123" s="16">
        <v>29147</v>
      </c>
      <c r="K123" s="16">
        <v>0</v>
      </c>
      <c r="M123" s="16">
        <v>0</v>
      </c>
      <c r="O123" s="16">
        <v>566</v>
      </c>
      <c r="Q123" s="16">
        <v>4182</v>
      </c>
      <c r="S123" s="16">
        <v>0</v>
      </c>
      <c r="U123" s="16">
        <v>0</v>
      </c>
      <c r="W123" s="16">
        <v>0</v>
      </c>
      <c r="Y123" s="16">
        <v>0</v>
      </c>
      <c r="AA123" s="16">
        <v>0</v>
      </c>
      <c r="AC123" s="16">
        <v>0</v>
      </c>
      <c r="AE123" s="32">
        <f t="shared" si="1"/>
        <v>44953</v>
      </c>
    </row>
    <row r="124" spans="1:31" ht="12.75" customHeight="1">
      <c r="A124" s="1" t="s">
        <v>659</v>
      </c>
      <c r="C124" s="1" t="s">
        <v>80</v>
      </c>
      <c r="E124" s="16">
        <v>11976</v>
      </c>
      <c r="G124" s="16">
        <v>0</v>
      </c>
      <c r="I124" s="16">
        <v>16437</v>
      </c>
      <c r="K124" s="16">
        <v>0</v>
      </c>
      <c r="M124" s="16">
        <v>2000</v>
      </c>
      <c r="O124" s="16">
        <v>973</v>
      </c>
      <c r="Q124" s="16">
        <v>982</v>
      </c>
      <c r="S124" s="16">
        <v>123</v>
      </c>
      <c r="U124" s="16">
        <v>0</v>
      </c>
      <c r="W124" s="16">
        <v>0</v>
      </c>
      <c r="Y124" s="16">
        <v>0</v>
      </c>
      <c r="AA124" s="16">
        <v>0</v>
      </c>
      <c r="AC124" s="16">
        <v>0</v>
      </c>
      <c r="AE124" s="32">
        <f t="shared" si="1"/>
        <v>32491</v>
      </c>
    </row>
    <row r="125" spans="1:31" ht="12.75" customHeight="1">
      <c r="A125" s="1" t="s">
        <v>714</v>
      </c>
      <c r="C125" s="1" t="s">
        <v>712</v>
      </c>
      <c r="E125" s="16">
        <v>7559</v>
      </c>
      <c r="G125" s="16">
        <v>0</v>
      </c>
      <c r="I125" s="16">
        <v>51275</v>
      </c>
      <c r="K125" s="16">
        <v>0</v>
      </c>
      <c r="M125" s="16">
        <v>0</v>
      </c>
      <c r="O125" s="16">
        <v>6723</v>
      </c>
      <c r="Q125" s="16">
        <v>3211</v>
      </c>
      <c r="S125" s="16">
        <v>2481</v>
      </c>
      <c r="U125" s="16">
        <v>0</v>
      </c>
      <c r="W125" s="16">
        <v>0</v>
      </c>
      <c r="Y125" s="16">
        <v>0</v>
      </c>
      <c r="AA125" s="16">
        <v>0</v>
      </c>
      <c r="AC125" s="16">
        <v>0</v>
      </c>
      <c r="AE125" s="32">
        <f t="shared" si="1"/>
        <v>71249</v>
      </c>
    </row>
    <row r="126" spans="1:31" ht="12.75" customHeight="1">
      <c r="A126" s="1" t="s">
        <v>499</v>
      </c>
      <c r="C126" s="1" t="s">
        <v>122</v>
      </c>
      <c r="E126" s="16">
        <v>12354</v>
      </c>
      <c r="G126" s="16">
        <v>0</v>
      </c>
      <c r="I126" s="16">
        <v>19033</v>
      </c>
      <c r="K126" s="16">
        <v>0</v>
      </c>
      <c r="M126" s="16">
        <v>0</v>
      </c>
      <c r="O126" s="16">
        <v>0</v>
      </c>
      <c r="Q126" s="16">
        <v>24</v>
      </c>
      <c r="S126" s="16">
        <v>3096</v>
      </c>
      <c r="U126" s="16">
        <v>0</v>
      </c>
      <c r="W126" s="16">
        <v>0</v>
      </c>
      <c r="Y126" s="16">
        <v>0</v>
      </c>
      <c r="AA126" s="16">
        <v>0</v>
      </c>
      <c r="AC126" s="16">
        <v>0</v>
      </c>
      <c r="AE126" s="32">
        <f t="shared" si="1"/>
        <v>34507</v>
      </c>
    </row>
    <row r="127" spans="1:31" ht="12.75" customHeight="1">
      <c r="A127" s="1" t="s">
        <v>673</v>
      </c>
      <c r="C127" s="1" t="s">
        <v>215</v>
      </c>
      <c r="E127" s="16">
        <v>9416</v>
      </c>
      <c r="G127" s="16">
        <v>0</v>
      </c>
      <c r="I127" s="16">
        <v>23861</v>
      </c>
      <c r="K127" s="16">
        <v>0</v>
      </c>
      <c r="M127" s="16">
        <v>3900</v>
      </c>
      <c r="O127" s="16">
        <v>1185</v>
      </c>
      <c r="Q127" s="16">
        <v>1906</v>
      </c>
      <c r="S127" s="16">
        <v>3126</v>
      </c>
      <c r="U127" s="16">
        <v>0</v>
      </c>
      <c r="W127" s="16">
        <v>4100</v>
      </c>
      <c r="Y127" s="16">
        <v>39478</v>
      </c>
      <c r="AA127" s="16">
        <v>54710</v>
      </c>
      <c r="AC127" s="16">
        <v>0</v>
      </c>
      <c r="AE127" s="32">
        <f t="shared" si="1"/>
        <v>141682</v>
      </c>
    </row>
    <row r="128" spans="1:31" ht="12.75" customHeight="1">
      <c r="A128" s="1" t="s">
        <v>564</v>
      </c>
      <c r="C128" s="1" t="s">
        <v>73</v>
      </c>
      <c r="E128" s="16">
        <v>435514</v>
      </c>
      <c r="G128" s="16">
        <v>0</v>
      </c>
      <c r="I128" s="16">
        <v>123098</v>
      </c>
      <c r="K128" s="16">
        <v>0</v>
      </c>
      <c r="M128" s="16">
        <v>38946</v>
      </c>
      <c r="O128" s="16">
        <v>130282</v>
      </c>
      <c r="Q128" s="16">
        <v>8495</v>
      </c>
      <c r="S128" s="16">
        <v>84818</v>
      </c>
      <c r="U128" s="16">
        <v>0</v>
      </c>
      <c r="W128" s="16">
        <v>84503</v>
      </c>
      <c r="Y128" s="16">
        <v>0</v>
      </c>
      <c r="AA128" s="16">
        <v>0</v>
      </c>
      <c r="AC128" s="16">
        <v>0</v>
      </c>
      <c r="AE128" s="32">
        <f t="shared" si="1"/>
        <v>905656</v>
      </c>
    </row>
    <row r="129" spans="1:31" ht="12.75" customHeight="1">
      <c r="A129" s="1" t="s">
        <v>438</v>
      </c>
      <c r="C129" s="1" t="s">
        <v>439</v>
      </c>
      <c r="E129" s="16">
        <v>14460</v>
      </c>
      <c r="G129" s="16">
        <v>0</v>
      </c>
      <c r="I129" s="16">
        <v>9133</v>
      </c>
      <c r="K129" s="16">
        <v>0</v>
      </c>
      <c r="M129" s="16">
        <v>0</v>
      </c>
      <c r="O129" s="16">
        <v>25</v>
      </c>
      <c r="Q129" s="16">
        <v>44</v>
      </c>
      <c r="S129" s="16">
        <f>3115+1680</f>
        <v>4795</v>
      </c>
      <c r="U129" s="16">
        <v>0</v>
      </c>
      <c r="W129" s="16">
        <v>0</v>
      </c>
      <c r="Y129" s="16">
        <v>0</v>
      </c>
      <c r="AA129" s="16">
        <v>0</v>
      </c>
      <c r="AC129" s="16">
        <v>0</v>
      </c>
      <c r="AE129" s="32">
        <f t="shared" si="1"/>
        <v>28457</v>
      </c>
    </row>
    <row r="130" spans="1:31" ht="12.75" customHeight="1">
      <c r="A130" s="1" t="s">
        <v>122</v>
      </c>
      <c r="C130" s="1" t="s">
        <v>129</v>
      </c>
      <c r="D130" s="16"/>
      <c r="E130" s="16">
        <v>69551</v>
      </c>
      <c r="G130" s="16">
        <v>0</v>
      </c>
      <c r="I130" s="16">
        <v>96786</v>
      </c>
      <c r="K130" s="16">
        <v>0</v>
      </c>
      <c r="M130" s="16">
        <v>651</v>
      </c>
      <c r="O130" s="16">
        <v>7862</v>
      </c>
      <c r="Q130" s="16">
        <v>2632</v>
      </c>
      <c r="S130" s="16">
        <v>5000</v>
      </c>
      <c r="U130" s="16">
        <v>0</v>
      </c>
      <c r="W130" s="16">
        <v>0</v>
      </c>
      <c r="Y130" s="16">
        <v>9429</v>
      </c>
      <c r="AA130" s="16">
        <v>0</v>
      </c>
      <c r="AC130" s="16">
        <v>0</v>
      </c>
      <c r="AE130" s="32">
        <f t="shared" si="1"/>
        <v>191911</v>
      </c>
    </row>
    <row r="131" spans="1:31" ht="12.75" customHeight="1">
      <c r="A131" s="1" t="s">
        <v>165</v>
      </c>
      <c r="C131" s="1" t="s">
        <v>110</v>
      </c>
      <c r="D131" s="16"/>
      <c r="E131" s="16">
        <v>5348</v>
      </c>
      <c r="G131" s="16">
        <v>0</v>
      </c>
      <c r="I131" s="16">
        <v>39440</v>
      </c>
      <c r="K131" s="16">
        <v>0</v>
      </c>
      <c r="M131" s="16">
        <v>0</v>
      </c>
      <c r="O131" s="16">
        <v>15</v>
      </c>
      <c r="Q131" s="16">
        <v>1712</v>
      </c>
      <c r="S131" s="16">
        <v>3092</v>
      </c>
      <c r="U131" s="16">
        <v>0</v>
      </c>
      <c r="W131" s="16">
        <v>0</v>
      </c>
      <c r="Y131" s="16">
        <v>0</v>
      </c>
      <c r="AA131" s="16">
        <v>0</v>
      </c>
      <c r="AC131" s="16">
        <v>0</v>
      </c>
      <c r="AE131" s="32">
        <f t="shared" si="1"/>
        <v>49607</v>
      </c>
    </row>
    <row r="132" spans="1:31" ht="12.75" customHeight="1">
      <c r="A132" s="1" t="s">
        <v>608</v>
      </c>
      <c r="C132" s="1" t="s">
        <v>164</v>
      </c>
      <c r="E132" s="16">
        <v>21598</v>
      </c>
      <c r="G132" s="16">
        <v>184431</v>
      </c>
      <c r="I132" s="16">
        <v>46407</v>
      </c>
      <c r="K132" s="16">
        <v>0</v>
      </c>
      <c r="M132" s="16">
        <v>1540</v>
      </c>
      <c r="O132" s="16">
        <v>66483</v>
      </c>
      <c r="Q132" s="16">
        <v>0</v>
      </c>
      <c r="S132" s="16">
        <v>144568</v>
      </c>
      <c r="U132" s="16">
        <v>0</v>
      </c>
      <c r="W132" s="16">
        <v>0</v>
      </c>
      <c r="Y132" s="16">
        <v>0</v>
      </c>
      <c r="AA132" s="16">
        <v>0</v>
      </c>
      <c r="AC132" s="16">
        <v>0</v>
      </c>
      <c r="AE132" s="32">
        <f t="shared" si="1"/>
        <v>465027</v>
      </c>
    </row>
    <row r="133" spans="1:31" ht="12.75" customHeight="1">
      <c r="A133" s="1" t="s">
        <v>166</v>
      </c>
      <c r="C133" s="1" t="s">
        <v>167</v>
      </c>
      <c r="D133" s="16"/>
      <c r="E133" s="16">
        <v>1062702</v>
      </c>
      <c r="G133" s="16">
        <v>0</v>
      </c>
      <c r="I133" s="16">
        <v>290541</v>
      </c>
      <c r="K133" s="16">
        <v>0</v>
      </c>
      <c r="M133" s="16">
        <v>0</v>
      </c>
      <c r="O133" s="16">
        <v>5085</v>
      </c>
      <c r="Q133" s="16">
        <v>0</v>
      </c>
      <c r="S133" s="16">
        <v>45522</v>
      </c>
      <c r="U133" s="16">
        <v>250000</v>
      </c>
      <c r="W133" s="16">
        <v>0</v>
      </c>
      <c r="Y133" s="16">
        <v>0</v>
      </c>
      <c r="AA133" s="16">
        <v>0</v>
      </c>
      <c r="AC133" s="16">
        <v>0</v>
      </c>
      <c r="AE133" s="32">
        <f t="shared" si="1"/>
        <v>1653850</v>
      </c>
    </row>
    <row r="134" spans="1:31" ht="12.75" customHeight="1">
      <c r="A134" s="1" t="s">
        <v>696</v>
      </c>
      <c r="C134" s="1" t="s">
        <v>225</v>
      </c>
      <c r="E134" s="16">
        <v>14243</v>
      </c>
      <c r="G134" s="16">
        <v>0</v>
      </c>
      <c r="I134" s="16">
        <v>41564</v>
      </c>
      <c r="K134" s="16">
        <v>0</v>
      </c>
      <c r="M134" s="16">
        <v>106</v>
      </c>
      <c r="O134" s="16">
        <v>3335</v>
      </c>
      <c r="Q134" s="16">
        <v>3863</v>
      </c>
      <c r="S134" s="16">
        <v>0</v>
      </c>
      <c r="U134" s="16">
        <v>0</v>
      </c>
      <c r="W134" s="16">
        <v>0</v>
      </c>
      <c r="Y134" s="16">
        <v>0</v>
      </c>
      <c r="AA134" s="16">
        <v>0</v>
      </c>
      <c r="AC134" s="16">
        <v>0</v>
      </c>
      <c r="AE134" s="32">
        <f t="shared" si="1"/>
        <v>63111</v>
      </c>
    </row>
    <row r="135" spans="1:31" ht="12.75" customHeight="1">
      <c r="A135" s="1" t="s">
        <v>168</v>
      </c>
      <c r="C135" s="1" t="s">
        <v>110</v>
      </c>
      <c r="D135" s="16"/>
      <c r="E135" s="16">
        <v>70081</v>
      </c>
      <c r="G135" s="16">
        <v>251951</v>
      </c>
      <c r="I135" s="16">
        <v>111766</v>
      </c>
      <c r="K135" s="16">
        <v>0</v>
      </c>
      <c r="M135" s="16">
        <v>54841</v>
      </c>
      <c r="O135" s="16">
        <v>1290</v>
      </c>
      <c r="Q135" s="16">
        <v>9120</v>
      </c>
      <c r="S135" s="16">
        <v>10203</v>
      </c>
      <c r="U135" s="16">
        <v>0</v>
      </c>
      <c r="W135" s="16">
        <v>0</v>
      </c>
      <c r="Y135" s="16">
        <v>0</v>
      </c>
      <c r="AA135" s="16">
        <v>1531</v>
      </c>
      <c r="AC135" s="16">
        <v>0</v>
      </c>
      <c r="AE135" s="32">
        <f t="shared" si="1"/>
        <v>510783</v>
      </c>
    </row>
    <row r="136" spans="1:31" ht="12.75" customHeight="1">
      <c r="A136" s="1" t="s">
        <v>786</v>
      </c>
      <c r="C136" s="1" t="s">
        <v>184</v>
      </c>
      <c r="E136" s="16">
        <v>66536</v>
      </c>
      <c r="G136" s="16">
        <v>0</v>
      </c>
      <c r="I136" s="16">
        <v>37244</v>
      </c>
      <c r="K136" s="16">
        <v>0</v>
      </c>
      <c r="M136" s="16">
        <v>0</v>
      </c>
      <c r="O136" s="16">
        <v>32454</v>
      </c>
      <c r="Q136" s="16">
        <v>24223</v>
      </c>
      <c r="S136" s="16">
        <v>8605</v>
      </c>
      <c r="U136" s="16">
        <v>0</v>
      </c>
      <c r="W136" s="16">
        <v>0</v>
      </c>
      <c r="Y136" s="16">
        <v>0</v>
      </c>
      <c r="AA136" s="16">
        <v>0</v>
      </c>
      <c r="AC136" s="16">
        <v>0</v>
      </c>
      <c r="AE136" s="32">
        <f t="shared" si="1"/>
        <v>169062</v>
      </c>
    </row>
    <row r="137" spans="1:31" ht="12.75" customHeight="1">
      <c r="A137" s="1" t="s">
        <v>784</v>
      </c>
      <c r="D137" s="1"/>
      <c r="AA137" s="16"/>
      <c r="AC137" s="16"/>
      <c r="AE137" s="32" t="s">
        <v>785</v>
      </c>
    </row>
    <row r="138" spans="1:44" s="36" customFormat="1" ht="12.75" customHeight="1">
      <c r="A138" s="36" t="s">
        <v>169</v>
      </c>
      <c r="C138" s="36" t="s">
        <v>170</v>
      </c>
      <c r="E138" s="36">
        <v>13598</v>
      </c>
      <c r="G138" s="36">
        <v>0</v>
      </c>
      <c r="I138" s="36">
        <v>10562</v>
      </c>
      <c r="K138" s="36">
        <v>0</v>
      </c>
      <c r="M138" s="36">
        <v>0</v>
      </c>
      <c r="O138" s="36">
        <v>0</v>
      </c>
      <c r="Q138" s="36">
        <v>109</v>
      </c>
      <c r="S138" s="36">
        <v>500</v>
      </c>
      <c r="U138" s="36">
        <v>0</v>
      </c>
      <c r="W138" s="36">
        <v>0</v>
      </c>
      <c r="Y138" s="36">
        <v>0</v>
      </c>
      <c r="AA138" s="36">
        <v>0</v>
      </c>
      <c r="AB138" s="37"/>
      <c r="AC138" s="36">
        <v>0</v>
      </c>
      <c r="AD138" s="37"/>
      <c r="AE138" s="38">
        <f t="shared" si="1"/>
        <v>24769</v>
      </c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:44" s="16" customFormat="1" ht="12.75" customHeight="1">
      <c r="A139" s="16" t="s">
        <v>761</v>
      </c>
      <c r="C139" s="16" t="s">
        <v>84</v>
      </c>
      <c r="D139" s="41"/>
      <c r="E139" s="16">
        <v>14367</v>
      </c>
      <c r="G139" s="16">
        <v>0</v>
      </c>
      <c r="I139" s="16">
        <v>10704</v>
      </c>
      <c r="K139" s="16">
        <v>0</v>
      </c>
      <c r="M139" s="16">
        <v>0</v>
      </c>
      <c r="O139" s="16">
        <v>0</v>
      </c>
      <c r="Q139" s="16">
        <v>87</v>
      </c>
      <c r="S139" s="16">
        <v>29</v>
      </c>
      <c r="U139" s="16">
        <v>0</v>
      </c>
      <c r="W139" s="16">
        <v>0</v>
      </c>
      <c r="Y139" s="16">
        <v>856</v>
      </c>
      <c r="AA139" s="16">
        <v>2100</v>
      </c>
      <c r="AB139" s="20"/>
      <c r="AC139" s="16">
        <v>0</v>
      </c>
      <c r="AD139" s="20"/>
      <c r="AE139" s="32">
        <f aca="true" t="shared" si="2" ref="AE139:AE203">SUM(E139:AC139)</f>
        <v>28143</v>
      </c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1:31" ht="12.75" customHeight="1">
      <c r="A140" s="1" t="s">
        <v>701</v>
      </c>
      <c r="C140" s="1" t="s">
        <v>110</v>
      </c>
      <c r="E140" s="16">
        <v>64184</v>
      </c>
      <c r="G140" s="16">
        <v>0</v>
      </c>
      <c r="I140" s="16">
        <v>169797</v>
      </c>
      <c r="K140" s="16">
        <v>0</v>
      </c>
      <c r="M140" s="16">
        <v>41265</v>
      </c>
      <c r="O140" s="16">
        <v>4018</v>
      </c>
      <c r="Q140" s="16">
        <v>1505</v>
      </c>
      <c r="S140" s="16">
        <v>11240</v>
      </c>
      <c r="U140" s="16">
        <v>538938</v>
      </c>
      <c r="W140" s="16">
        <v>1675</v>
      </c>
      <c r="Y140" s="16">
        <v>0</v>
      </c>
      <c r="AA140" s="16">
        <v>0</v>
      </c>
      <c r="AC140" s="16">
        <v>0</v>
      </c>
      <c r="AE140" s="32">
        <f t="shared" si="2"/>
        <v>832622</v>
      </c>
    </row>
    <row r="141" spans="1:31" ht="12.75" customHeight="1">
      <c r="A141" s="1" t="s">
        <v>748</v>
      </c>
      <c r="C141" s="1" t="s">
        <v>192</v>
      </c>
      <c r="E141" s="16">
        <v>55550</v>
      </c>
      <c r="G141" s="16">
        <v>134295</v>
      </c>
      <c r="I141" s="16">
        <v>55151</v>
      </c>
      <c r="K141" s="16">
        <v>0</v>
      </c>
      <c r="M141" s="16">
        <v>47677</v>
      </c>
      <c r="O141" s="16">
        <v>585</v>
      </c>
      <c r="Q141" s="16">
        <v>19211</v>
      </c>
      <c r="S141" s="16">
        <v>16938</v>
      </c>
      <c r="U141" s="16">
        <v>0</v>
      </c>
      <c r="W141" s="16">
        <v>0</v>
      </c>
      <c r="Y141" s="16">
        <v>0</v>
      </c>
      <c r="AA141" s="16">
        <v>0</v>
      </c>
      <c r="AC141" s="16">
        <v>0</v>
      </c>
      <c r="AE141" s="32">
        <f t="shared" si="2"/>
        <v>329407</v>
      </c>
    </row>
    <row r="142" spans="1:31" ht="12.75" customHeight="1">
      <c r="A142" s="1" t="s">
        <v>682</v>
      </c>
      <c r="C142" s="1" t="s">
        <v>179</v>
      </c>
      <c r="E142" s="16">
        <v>31564</v>
      </c>
      <c r="G142" s="16">
        <v>0</v>
      </c>
      <c r="I142" s="16">
        <v>45783</v>
      </c>
      <c r="K142" s="16">
        <v>15000</v>
      </c>
      <c r="M142" s="16">
        <v>0</v>
      </c>
      <c r="O142" s="16">
        <v>17359</v>
      </c>
      <c r="Q142" s="16">
        <v>815</v>
      </c>
      <c r="S142" s="16">
        <v>1452</v>
      </c>
      <c r="U142" s="16">
        <v>0</v>
      </c>
      <c r="W142" s="16">
        <v>0</v>
      </c>
      <c r="Y142" s="16">
        <v>0</v>
      </c>
      <c r="AA142" s="16">
        <v>5000</v>
      </c>
      <c r="AC142" s="16">
        <v>4430</v>
      </c>
      <c r="AE142" s="32">
        <f t="shared" si="2"/>
        <v>121403</v>
      </c>
    </row>
    <row r="143" spans="1:31" ht="12.75" customHeight="1">
      <c r="A143" s="1" t="s">
        <v>171</v>
      </c>
      <c r="C143" s="1" t="s">
        <v>172</v>
      </c>
      <c r="D143" s="16"/>
      <c r="E143" s="16">
        <v>29233</v>
      </c>
      <c r="G143" s="16">
        <v>0</v>
      </c>
      <c r="I143" s="16">
        <v>6148</v>
      </c>
      <c r="K143" s="16">
        <v>0</v>
      </c>
      <c r="M143" s="16">
        <v>0</v>
      </c>
      <c r="O143" s="16">
        <v>1372</v>
      </c>
      <c r="Q143" s="16">
        <v>317</v>
      </c>
      <c r="S143" s="16">
        <v>0</v>
      </c>
      <c r="U143" s="16">
        <v>0</v>
      </c>
      <c r="W143" s="16">
        <v>0</v>
      </c>
      <c r="Y143" s="16">
        <v>0</v>
      </c>
      <c r="AA143" s="16">
        <v>0</v>
      </c>
      <c r="AC143" s="16">
        <v>0</v>
      </c>
      <c r="AE143" s="32">
        <f t="shared" si="2"/>
        <v>37070</v>
      </c>
    </row>
    <row r="144" spans="1:31" ht="12.75" customHeight="1">
      <c r="A144" s="1" t="s">
        <v>173</v>
      </c>
      <c r="C144" s="1" t="s">
        <v>155</v>
      </c>
      <c r="D144" s="16"/>
      <c r="E144" s="16">
        <v>297824</v>
      </c>
      <c r="G144" s="16">
        <v>0</v>
      </c>
      <c r="I144" s="16">
        <v>36562</v>
      </c>
      <c r="K144" s="16">
        <v>3417</v>
      </c>
      <c r="M144" s="16">
        <v>16268</v>
      </c>
      <c r="O144" s="16">
        <v>2571</v>
      </c>
      <c r="Q144" s="16">
        <v>252</v>
      </c>
      <c r="S144" s="16">
        <v>8685</v>
      </c>
      <c r="U144" s="16">
        <v>0</v>
      </c>
      <c r="W144" s="16">
        <v>0</v>
      </c>
      <c r="Y144" s="16">
        <v>547500</v>
      </c>
      <c r="AA144" s="16">
        <v>0</v>
      </c>
      <c r="AC144" s="16">
        <v>0</v>
      </c>
      <c r="AE144" s="32">
        <f t="shared" si="2"/>
        <v>913079</v>
      </c>
    </row>
    <row r="145" spans="1:31" ht="12.75" customHeight="1">
      <c r="A145" s="1" t="s">
        <v>631</v>
      </c>
      <c r="C145" s="1" t="s">
        <v>378</v>
      </c>
      <c r="E145" s="16">
        <v>36487</v>
      </c>
      <c r="G145" s="16">
        <v>0</v>
      </c>
      <c r="I145" s="16">
        <v>10783</v>
      </c>
      <c r="K145" s="16">
        <v>0</v>
      </c>
      <c r="M145" s="16">
        <v>24</v>
      </c>
      <c r="O145" s="16">
        <v>12720</v>
      </c>
      <c r="Q145" s="16">
        <v>341</v>
      </c>
      <c r="S145" s="16">
        <v>41487</v>
      </c>
      <c r="U145" s="16">
        <v>0</v>
      </c>
      <c r="W145" s="16">
        <v>0</v>
      </c>
      <c r="Y145" s="16">
        <v>0</v>
      </c>
      <c r="AA145" s="16">
        <v>0</v>
      </c>
      <c r="AC145" s="16">
        <v>0</v>
      </c>
      <c r="AE145" s="32">
        <f t="shared" si="2"/>
        <v>101842</v>
      </c>
    </row>
    <row r="146" spans="1:31" ht="12.75" customHeight="1">
      <c r="A146" s="1" t="s">
        <v>174</v>
      </c>
      <c r="C146" s="1" t="s">
        <v>175</v>
      </c>
      <c r="D146" s="16"/>
      <c r="E146" s="16">
        <v>67759</v>
      </c>
      <c r="G146" s="16">
        <v>335724</v>
      </c>
      <c r="I146" s="16">
        <v>83673</v>
      </c>
      <c r="K146" s="16">
        <v>0</v>
      </c>
      <c r="M146" s="16">
        <v>0</v>
      </c>
      <c r="O146" s="16">
        <v>17455</v>
      </c>
      <c r="Q146" s="16">
        <v>6585</v>
      </c>
      <c r="S146" s="16">
        <v>12636</v>
      </c>
      <c r="U146" s="16">
        <v>0</v>
      </c>
      <c r="W146" s="16">
        <v>0</v>
      </c>
      <c r="Y146" s="16">
        <v>0</v>
      </c>
      <c r="AA146" s="16">
        <v>0</v>
      </c>
      <c r="AC146" s="16">
        <v>0</v>
      </c>
      <c r="AE146" s="32">
        <f t="shared" si="2"/>
        <v>523832</v>
      </c>
    </row>
    <row r="147" spans="1:31" ht="12.75" customHeight="1">
      <c r="A147" s="1" t="s">
        <v>176</v>
      </c>
      <c r="C147" s="1" t="s">
        <v>177</v>
      </c>
      <c r="D147" s="16"/>
      <c r="E147" s="16">
        <v>103183</v>
      </c>
      <c r="G147" s="16">
        <v>124381</v>
      </c>
      <c r="I147" s="16">
        <v>198480</v>
      </c>
      <c r="K147" s="16">
        <v>0</v>
      </c>
      <c r="M147" s="16">
        <v>0</v>
      </c>
      <c r="O147" s="16">
        <v>20538</v>
      </c>
      <c r="Q147" s="16">
        <v>2619</v>
      </c>
      <c r="S147" s="16">
        <v>10779</v>
      </c>
      <c r="U147" s="16">
        <v>0</v>
      </c>
      <c r="W147" s="16">
        <v>0</v>
      </c>
      <c r="Y147" s="16">
        <v>3000</v>
      </c>
      <c r="AA147" s="16">
        <v>0</v>
      </c>
      <c r="AC147" s="16">
        <v>0</v>
      </c>
      <c r="AE147" s="32">
        <f t="shared" si="2"/>
        <v>462980</v>
      </c>
    </row>
    <row r="148" spans="1:31" ht="12.75" customHeight="1">
      <c r="A148" s="1" t="s">
        <v>178</v>
      </c>
      <c r="C148" s="1" t="s">
        <v>179</v>
      </c>
      <c r="D148" s="16"/>
      <c r="E148" s="16">
        <v>23920</v>
      </c>
      <c r="G148" s="16">
        <v>0</v>
      </c>
      <c r="I148" s="16">
        <v>117116</v>
      </c>
      <c r="K148" s="16">
        <v>0</v>
      </c>
      <c r="M148" s="16">
        <v>16338</v>
      </c>
      <c r="O148" s="16">
        <v>13590</v>
      </c>
      <c r="Q148" s="16">
        <v>3808</v>
      </c>
      <c r="S148" s="16">
        <v>72017</v>
      </c>
      <c r="U148" s="16">
        <v>0</v>
      </c>
      <c r="W148" s="16">
        <v>0</v>
      </c>
      <c r="Y148" s="16">
        <v>287016</v>
      </c>
      <c r="AA148" s="16">
        <v>0</v>
      </c>
      <c r="AC148" s="16">
        <v>0</v>
      </c>
      <c r="AE148" s="32">
        <f t="shared" si="2"/>
        <v>533805</v>
      </c>
    </row>
    <row r="149" spans="1:31" ht="12.75" customHeight="1">
      <c r="A149" s="1" t="s">
        <v>552</v>
      </c>
      <c r="C149" s="1" t="s">
        <v>210</v>
      </c>
      <c r="E149" s="16">
        <v>2768</v>
      </c>
      <c r="G149" s="16">
        <v>0</v>
      </c>
      <c r="I149" s="16">
        <v>65757</v>
      </c>
      <c r="K149" s="16">
        <v>0</v>
      </c>
      <c r="M149" s="16">
        <v>900</v>
      </c>
      <c r="O149" s="16">
        <v>516</v>
      </c>
      <c r="Q149" s="16">
        <v>277</v>
      </c>
      <c r="S149" s="16">
        <v>1364</v>
      </c>
      <c r="U149" s="16">
        <v>0</v>
      </c>
      <c r="W149" s="16">
        <v>0</v>
      </c>
      <c r="Y149" s="16">
        <v>0</v>
      </c>
      <c r="AA149" s="16">
        <v>0</v>
      </c>
      <c r="AC149" s="16">
        <v>0</v>
      </c>
      <c r="AE149" s="32">
        <f t="shared" si="2"/>
        <v>71582</v>
      </c>
    </row>
    <row r="150" spans="1:31" ht="12.75" customHeight="1">
      <c r="A150" s="1" t="s">
        <v>558</v>
      </c>
      <c r="C150" s="1" t="s">
        <v>199</v>
      </c>
      <c r="E150" s="16">
        <v>20904</v>
      </c>
      <c r="G150" s="16">
        <v>0</v>
      </c>
      <c r="I150" s="16">
        <v>15815</v>
      </c>
      <c r="K150" s="16">
        <v>0</v>
      </c>
      <c r="M150" s="16">
        <v>0</v>
      </c>
      <c r="O150" s="16">
        <v>0</v>
      </c>
      <c r="Q150" s="16">
        <v>353</v>
      </c>
      <c r="S150" s="16">
        <v>85</v>
      </c>
      <c r="U150" s="16">
        <v>0</v>
      </c>
      <c r="W150" s="16">
        <v>0</v>
      </c>
      <c r="Y150" s="16">
        <v>0</v>
      </c>
      <c r="AA150" s="16">
        <v>0</v>
      </c>
      <c r="AC150" s="16">
        <v>0</v>
      </c>
      <c r="AE150" s="32">
        <f t="shared" si="2"/>
        <v>37157</v>
      </c>
    </row>
    <row r="151" spans="1:31" ht="12.75" customHeight="1">
      <c r="A151" s="1" t="s">
        <v>768</v>
      </c>
      <c r="C151" s="1" t="s">
        <v>94</v>
      </c>
      <c r="E151" s="16">
        <v>13245</v>
      </c>
      <c r="G151" s="16">
        <v>0</v>
      </c>
      <c r="I151" s="16">
        <v>5785</v>
      </c>
      <c r="K151" s="16">
        <v>0</v>
      </c>
      <c r="M151" s="16">
        <v>0</v>
      </c>
      <c r="O151" s="16">
        <v>45</v>
      </c>
      <c r="Q151" s="16">
        <v>4030</v>
      </c>
      <c r="S151" s="16">
        <v>288</v>
      </c>
      <c r="U151" s="16">
        <v>0</v>
      </c>
      <c r="W151" s="16">
        <v>0</v>
      </c>
      <c r="Y151" s="16">
        <v>0</v>
      </c>
      <c r="AA151" s="16">
        <v>0</v>
      </c>
      <c r="AC151" s="16">
        <v>0</v>
      </c>
      <c r="AE151" s="32">
        <f t="shared" si="2"/>
        <v>23393</v>
      </c>
    </row>
    <row r="152" spans="1:31" ht="12.75" customHeight="1">
      <c r="A152" s="1" t="s">
        <v>769</v>
      </c>
      <c r="C152" s="1" t="s">
        <v>94</v>
      </c>
      <c r="E152" s="16">
        <v>11008</v>
      </c>
      <c r="G152" s="16">
        <v>80505</v>
      </c>
      <c r="I152" s="16">
        <v>20248</v>
      </c>
      <c r="K152" s="16">
        <v>0</v>
      </c>
      <c r="M152" s="16">
        <v>17475</v>
      </c>
      <c r="O152" s="16">
        <v>1554</v>
      </c>
      <c r="Q152" s="16">
        <v>11222</v>
      </c>
      <c r="S152" s="16">
        <v>3251</v>
      </c>
      <c r="U152" s="16">
        <v>0</v>
      </c>
      <c r="W152" s="16">
        <v>0</v>
      </c>
      <c r="Y152" s="16">
        <v>0</v>
      </c>
      <c r="AA152" s="16">
        <v>0</v>
      </c>
      <c r="AC152" s="16">
        <v>1022</v>
      </c>
      <c r="AE152" s="32">
        <f t="shared" si="2"/>
        <v>146285</v>
      </c>
    </row>
    <row r="153" spans="1:31" ht="12.75" customHeight="1">
      <c r="A153" s="1" t="s">
        <v>180</v>
      </c>
      <c r="C153" s="1" t="s">
        <v>84</v>
      </c>
      <c r="D153" s="16"/>
      <c r="E153" s="16">
        <v>110369</v>
      </c>
      <c r="G153" s="16">
        <v>0</v>
      </c>
      <c r="I153" s="16">
        <v>101309</v>
      </c>
      <c r="K153" s="16">
        <v>0</v>
      </c>
      <c r="M153" s="16">
        <v>1495</v>
      </c>
      <c r="O153" s="16">
        <v>31357</v>
      </c>
      <c r="Q153" s="16">
        <v>3854</v>
      </c>
      <c r="S153" s="16">
        <v>0</v>
      </c>
      <c r="U153" s="16">
        <v>0</v>
      </c>
      <c r="W153" s="16">
        <v>0</v>
      </c>
      <c r="Y153" s="16">
        <v>240000</v>
      </c>
      <c r="AA153" s="16">
        <v>0</v>
      </c>
      <c r="AC153" s="16">
        <v>0</v>
      </c>
      <c r="AE153" s="32">
        <f t="shared" si="2"/>
        <v>488384</v>
      </c>
    </row>
    <row r="154" spans="1:31" ht="12.75" customHeight="1">
      <c r="A154" s="1" t="s">
        <v>181</v>
      </c>
      <c r="C154" s="1" t="s">
        <v>182</v>
      </c>
      <c r="D154" s="16"/>
      <c r="E154" s="16">
        <v>137274</v>
      </c>
      <c r="G154" s="16">
        <v>0</v>
      </c>
      <c r="I154" s="16">
        <v>13162</v>
      </c>
      <c r="K154" s="16">
        <v>0</v>
      </c>
      <c r="M154" s="16">
        <v>1391</v>
      </c>
      <c r="O154" s="16">
        <v>1657</v>
      </c>
      <c r="Q154" s="16">
        <v>0</v>
      </c>
      <c r="S154" s="16">
        <v>12295</v>
      </c>
      <c r="U154" s="16">
        <v>0</v>
      </c>
      <c r="W154" s="16">
        <v>0</v>
      </c>
      <c r="Y154" s="16">
        <v>0</v>
      </c>
      <c r="AA154" s="16">
        <v>0</v>
      </c>
      <c r="AC154" s="16">
        <v>0</v>
      </c>
      <c r="AE154" s="32">
        <f t="shared" si="2"/>
        <v>165779</v>
      </c>
    </row>
    <row r="155" spans="1:31" ht="12.75" customHeight="1">
      <c r="A155" s="1" t="s">
        <v>183</v>
      </c>
      <c r="C155" s="1" t="s">
        <v>184</v>
      </c>
      <c r="D155" s="16"/>
      <c r="E155" s="16">
        <v>3876</v>
      </c>
      <c r="G155" s="16">
        <v>0</v>
      </c>
      <c r="I155" s="16">
        <v>25203</v>
      </c>
      <c r="K155" s="16">
        <v>0</v>
      </c>
      <c r="M155" s="16">
        <v>0</v>
      </c>
      <c r="O155" s="16">
        <v>0</v>
      </c>
      <c r="Q155" s="16">
        <v>191</v>
      </c>
      <c r="S155" s="16">
        <v>198</v>
      </c>
      <c r="U155" s="16">
        <v>0</v>
      </c>
      <c r="W155" s="16">
        <v>0</v>
      </c>
      <c r="Y155" s="16">
        <v>0</v>
      </c>
      <c r="AA155" s="16">
        <v>0</v>
      </c>
      <c r="AC155" s="16">
        <v>0</v>
      </c>
      <c r="AE155" s="32">
        <f t="shared" si="2"/>
        <v>29468</v>
      </c>
    </row>
    <row r="156" spans="1:31" ht="12.75" customHeight="1">
      <c r="A156" s="1" t="s">
        <v>185</v>
      </c>
      <c r="C156" s="1" t="s">
        <v>133</v>
      </c>
      <c r="D156" s="1"/>
      <c r="E156" s="16">
        <v>1287</v>
      </c>
      <c r="G156" s="16">
        <v>0</v>
      </c>
      <c r="I156" s="16">
        <v>12656</v>
      </c>
      <c r="K156" s="16">
        <v>0</v>
      </c>
      <c r="M156" s="16">
        <v>0</v>
      </c>
      <c r="O156" s="16">
        <v>0</v>
      </c>
      <c r="Q156" s="16">
        <v>67</v>
      </c>
      <c r="S156" s="16">
        <v>0</v>
      </c>
      <c r="U156" s="16">
        <v>0</v>
      </c>
      <c r="W156" s="16">
        <v>0</v>
      </c>
      <c r="Y156" s="16">
        <v>0</v>
      </c>
      <c r="AA156" s="16">
        <v>0</v>
      </c>
      <c r="AC156" s="16">
        <v>0</v>
      </c>
      <c r="AE156" s="32">
        <f t="shared" si="2"/>
        <v>14010</v>
      </c>
    </row>
    <row r="157" spans="1:31" ht="12.75" customHeight="1">
      <c r="A157" s="1" t="s">
        <v>617</v>
      </c>
      <c r="C157" s="1" t="s">
        <v>369</v>
      </c>
      <c r="E157" s="16">
        <v>27805</v>
      </c>
      <c r="G157" s="16">
        <v>172401</v>
      </c>
      <c r="I157" s="16">
        <v>56228</v>
      </c>
      <c r="K157" s="16">
        <v>0</v>
      </c>
      <c r="M157" s="16">
        <v>10550</v>
      </c>
      <c r="O157" s="16">
        <v>6197</v>
      </c>
      <c r="Q157" s="16">
        <v>5250</v>
      </c>
      <c r="S157" s="16">
        <v>2772</v>
      </c>
      <c r="U157" s="16">
        <v>0</v>
      </c>
      <c r="W157" s="16">
        <v>0</v>
      </c>
      <c r="Y157" s="16">
        <v>0</v>
      </c>
      <c r="AA157" s="16">
        <v>0</v>
      </c>
      <c r="AC157" s="16">
        <v>0</v>
      </c>
      <c r="AE157" s="32">
        <f t="shared" si="2"/>
        <v>281203</v>
      </c>
    </row>
    <row r="158" spans="1:31" ht="12.75" customHeight="1">
      <c r="A158" s="1" t="s">
        <v>481</v>
      </c>
      <c r="C158" s="1" t="s">
        <v>153</v>
      </c>
      <c r="E158" s="16">
        <v>21078</v>
      </c>
      <c r="G158" s="16">
        <v>0</v>
      </c>
      <c r="I158" s="16">
        <v>41957</v>
      </c>
      <c r="K158" s="16">
        <v>0</v>
      </c>
      <c r="M158" s="16">
        <v>0</v>
      </c>
      <c r="O158" s="16">
        <v>736</v>
      </c>
      <c r="Q158" s="16">
        <v>52</v>
      </c>
      <c r="S158" s="16">
        <v>5617</v>
      </c>
      <c r="U158" s="16">
        <v>0</v>
      </c>
      <c r="W158" s="16">
        <v>0</v>
      </c>
      <c r="Y158" s="16">
        <v>0</v>
      </c>
      <c r="AA158" s="16">
        <v>0</v>
      </c>
      <c r="AC158" s="16">
        <v>0</v>
      </c>
      <c r="AE158" s="32">
        <f t="shared" si="2"/>
        <v>69440</v>
      </c>
    </row>
    <row r="159" spans="1:31" ht="12.75" customHeight="1">
      <c r="A159" s="1" t="s">
        <v>186</v>
      </c>
      <c r="C159" s="1" t="s">
        <v>87</v>
      </c>
      <c r="D159" s="16"/>
      <c r="E159" s="16">
        <v>454590</v>
      </c>
      <c r="G159" s="16">
        <v>0</v>
      </c>
      <c r="I159" s="16">
        <v>178846</v>
      </c>
      <c r="K159" s="16">
        <v>0</v>
      </c>
      <c r="M159" s="16">
        <v>97856</v>
      </c>
      <c r="O159" s="16">
        <v>37587</v>
      </c>
      <c r="Q159" s="16">
        <v>32450</v>
      </c>
      <c r="S159" s="16">
        <v>0</v>
      </c>
      <c r="U159" s="16">
        <v>0</v>
      </c>
      <c r="W159" s="16">
        <v>0</v>
      </c>
      <c r="Y159" s="16">
        <v>0</v>
      </c>
      <c r="AA159" s="16">
        <v>0</v>
      </c>
      <c r="AC159" s="16">
        <v>0</v>
      </c>
      <c r="AE159" s="32">
        <f t="shared" si="2"/>
        <v>801329</v>
      </c>
    </row>
    <row r="160" spans="1:31" ht="12.75" customHeight="1">
      <c r="A160" s="1" t="s">
        <v>738</v>
      </c>
      <c r="C160" s="1" t="s">
        <v>96</v>
      </c>
      <c r="E160" s="16">
        <v>157040</v>
      </c>
      <c r="G160" s="16">
        <v>605176</v>
      </c>
      <c r="I160" s="16">
        <v>168805</v>
      </c>
      <c r="K160" s="16">
        <v>0</v>
      </c>
      <c r="M160" s="16">
        <v>0</v>
      </c>
      <c r="O160" s="16">
        <v>13262</v>
      </c>
      <c r="Q160" s="16">
        <v>2840</v>
      </c>
      <c r="S160" s="16">
        <v>38748</v>
      </c>
      <c r="U160" s="16">
        <v>0</v>
      </c>
      <c r="W160" s="16">
        <v>0</v>
      </c>
      <c r="Y160" s="16">
        <v>0</v>
      </c>
      <c r="AA160" s="16">
        <v>0</v>
      </c>
      <c r="AC160" s="16">
        <v>0</v>
      </c>
      <c r="AE160" s="32">
        <f t="shared" si="2"/>
        <v>985871</v>
      </c>
    </row>
    <row r="161" spans="1:31" ht="12.75" customHeight="1">
      <c r="A161" s="1" t="s">
        <v>583</v>
      </c>
      <c r="C161" s="1" t="s">
        <v>239</v>
      </c>
      <c r="E161" s="16">
        <v>66606</v>
      </c>
      <c r="G161" s="16">
        <v>0</v>
      </c>
      <c r="I161" s="16">
        <v>101824</v>
      </c>
      <c r="K161" s="16">
        <v>0</v>
      </c>
      <c r="M161" s="16">
        <v>2500</v>
      </c>
      <c r="O161" s="16">
        <v>4423</v>
      </c>
      <c r="Q161" s="16">
        <v>9270</v>
      </c>
      <c r="S161" s="16">
        <v>101772</v>
      </c>
      <c r="U161" s="16">
        <v>0</v>
      </c>
      <c r="W161" s="16">
        <v>0</v>
      </c>
      <c r="Y161" s="16">
        <v>97000</v>
      </c>
      <c r="AA161" s="16">
        <v>0</v>
      </c>
      <c r="AC161" s="16">
        <v>0</v>
      </c>
      <c r="AE161" s="32">
        <f t="shared" si="2"/>
        <v>383395</v>
      </c>
    </row>
    <row r="162" spans="1:31" ht="12.75" customHeight="1">
      <c r="A162" s="1" t="s">
        <v>598</v>
      </c>
      <c r="C162" s="1" t="s">
        <v>69</v>
      </c>
      <c r="E162" s="16">
        <v>40248</v>
      </c>
      <c r="G162" s="16">
        <v>0</v>
      </c>
      <c r="I162" s="16">
        <v>87627</v>
      </c>
      <c r="K162" s="16">
        <v>0</v>
      </c>
      <c r="M162" s="16">
        <v>4967</v>
      </c>
      <c r="O162" s="16">
        <v>11069</v>
      </c>
      <c r="Q162" s="16">
        <v>6254</v>
      </c>
      <c r="S162" s="16">
        <v>345</v>
      </c>
      <c r="U162" s="16">
        <v>7000</v>
      </c>
      <c r="W162" s="16">
        <v>0</v>
      </c>
      <c r="Y162" s="16">
        <v>0</v>
      </c>
      <c r="AA162" s="16">
        <v>0</v>
      </c>
      <c r="AC162" s="16">
        <v>27245</v>
      </c>
      <c r="AE162" s="32">
        <f t="shared" si="2"/>
        <v>184755</v>
      </c>
    </row>
    <row r="163" spans="1:31" ht="12.75" customHeight="1">
      <c r="A163" s="1" t="s">
        <v>187</v>
      </c>
      <c r="C163" s="1" t="s">
        <v>84</v>
      </c>
      <c r="D163" s="16"/>
      <c r="E163" s="16">
        <v>311459</v>
      </c>
      <c r="G163" s="16">
        <v>0</v>
      </c>
      <c r="I163" s="16">
        <v>120956</v>
      </c>
      <c r="K163" s="16">
        <v>0</v>
      </c>
      <c r="M163" s="16">
        <v>39074</v>
      </c>
      <c r="O163" s="16">
        <f>48418</f>
        <v>48418</v>
      </c>
      <c r="Q163" s="16">
        <v>20194</v>
      </c>
      <c r="S163" s="16">
        <v>47809</v>
      </c>
      <c r="U163" s="16">
        <v>0</v>
      </c>
      <c r="W163" s="16">
        <v>0</v>
      </c>
      <c r="Y163" s="16">
        <v>0</v>
      </c>
      <c r="AA163" s="16">
        <v>0</v>
      </c>
      <c r="AC163" s="16">
        <v>0</v>
      </c>
      <c r="AE163" s="32">
        <f t="shared" si="2"/>
        <v>587910</v>
      </c>
    </row>
    <row r="164" spans="1:31" ht="12.75" customHeight="1">
      <c r="A164" s="1" t="s">
        <v>668</v>
      </c>
      <c r="C164" s="1" t="s">
        <v>67</v>
      </c>
      <c r="E164" s="16">
        <v>57021</v>
      </c>
      <c r="G164" s="16">
        <v>1871</v>
      </c>
      <c r="I164" s="16">
        <v>57334</v>
      </c>
      <c r="K164" s="16">
        <v>0</v>
      </c>
      <c r="M164" s="16">
        <v>0</v>
      </c>
      <c r="O164" s="16">
        <v>22928</v>
      </c>
      <c r="Q164" s="16">
        <v>58367</v>
      </c>
      <c r="S164" s="16">
        <v>12980</v>
      </c>
      <c r="U164" s="16">
        <v>0</v>
      </c>
      <c r="W164" s="16">
        <v>0</v>
      </c>
      <c r="Y164" s="16">
        <v>116725</v>
      </c>
      <c r="AA164" s="16">
        <v>45031</v>
      </c>
      <c r="AC164" s="16">
        <v>0</v>
      </c>
      <c r="AE164" s="32">
        <f t="shared" si="2"/>
        <v>372257</v>
      </c>
    </row>
    <row r="165" spans="1:31" ht="12.75" customHeight="1">
      <c r="A165" s="1" t="s">
        <v>575</v>
      </c>
      <c r="C165" s="1" t="s">
        <v>65</v>
      </c>
      <c r="E165" s="16">
        <v>10463</v>
      </c>
      <c r="G165" s="16">
        <v>57163</v>
      </c>
      <c r="I165" s="16">
        <v>26304</v>
      </c>
      <c r="K165" s="16">
        <v>0</v>
      </c>
      <c r="M165" s="16">
        <v>0</v>
      </c>
      <c r="O165" s="16">
        <v>3367</v>
      </c>
      <c r="Q165" s="16">
        <v>2590</v>
      </c>
      <c r="S165" s="16">
        <v>3644</v>
      </c>
      <c r="U165" s="16">
        <v>0</v>
      </c>
      <c r="W165" s="16">
        <v>0</v>
      </c>
      <c r="Y165" s="16">
        <v>0</v>
      </c>
      <c r="AA165" s="16">
        <v>0</v>
      </c>
      <c r="AC165" s="16">
        <v>0</v>
      </c>
      <c r="AE165" s="32">
        <f t="shared" si="2"/>
        <v>103531</v>
      </c>
    </row>
    <row r="166" spans="1:31" ht="12.75" customHeight="1">
      <c r="A166" s="1" t="s">
        <v>702</v>
      </c>
      <c r="C166" s="1" t="s">
        <v>110</v>
      </c>
      <c r="E166" s="16">
        <v>6922</v>
      </c>
      <c r="G166" s="16">
        <v>0</v>
      </c>
      <c r="I166" s="16">
        <v>39536</v>
      </c>
      <c r="K166" s="16">
        <v>0</v>
      </c>
      <c r="M166" s="16">
        <v>22</v>
      </c>
      <c r="O166" s="16">
        <v>0</v>
      </c>
      <c r="Q166" s="16">
        <v>345</v>
      </c>
      <c r="S166" s="16">
        <v>1248</v>
      </c>
      <c r="U166" s="16">
        <v>0</v>
      </c>
      <c r="W166" s="16">
        <v>0</v>
      </c>
      <c r="Y166" s="16">
        <v>0</v>
      </c>
      <c r="AA166" s="16">
        <v>0</v>
      </c>
      <c r="AC166" s="16">
        <v>0</v>
      </c>
      <c r="AE166" s="32">
        <f t="shared" si="2"/>
        <v>48073</v>
      </c>
    </row>
    <row r="167" spans="1:31" ht="12.75" customHeight="1">
      <c r="A167" s="1" t="s">
        <v>188</v>
      </c>
      <c r="C167" s="1" t="s">
        <v>106</v>
      </c>
      <c r="D167" s="16"/>
      <c r="E167" s="16">
        <v>47607</v>
      </c>
      <c r="G167" s="16">
        <v>350032</v>
      </c>
      <c r="I167" s="16">
        <v>63224</v>
      </c>
      <c r="K167" s="16">
        <v>0</v>
      </c>
      <c r="M167" s="16">
        <v>0</v>
      </c>
      <c r="O167" s="16">
        <v>24973</v>
      </c>
      <c r="Q167" s="16">
        <v>6832</v>
      </c>
      <c r="S167" s="16">
        <v>6251</v>
      </c>
      <c r="U167" s="16">
        <v>0</v>
      </c>
      <c r="W167" s="16">
        <v>0</v>
      </c>
      <c r="Y167" s="16">
        <v>0</v>
      </c>
      <c r="AA167" s="16">
        <v>0</v>
      </c>
      <c r="AC167" s="16">
        <v>0</v>
      </c>
      <c r="AE167" s="32">
        <f t="shared" si="2"/>
        <v>498919</v>
      </c>
    </row>
    <row r="168" spans="1:31" ht="12.75" customHeight="1">
      <c r="A168" s="1" t="s">
        <v>729</v>
      </c>
      <c r="C168" s="1" t="s">
        <v>106</v>
      </c>
      <c r="E168" s="16">
        <v>117564</v>
      </c>
      <c r="G168" s="16">
        <v>0</v>
      </c>
      <c r="I168" s="16">
        <v>34214</v>
      </c>
      <c r="K168" s="16">
        <v>0</v>
      </c>
      <c r="M168" s="16">
        <v>2600</v>
      </c>
      <c r="O168" s="16">
        <v>7504</v>
      </c>
      <c r="Q168" s="16">
        <v>274</v>
      </c>
      <c r="S168" s="16">
        <v>11413</v>
      </c>
      <c r="U168" s="16">
        <v>0</v>
      </c>
      <c r="W168" s="16">
        <v>0</v>
      </c>
      <c r="Y168" s="16">
        <v>177</v>
      </c>
      <c r="AA168" s="16">
        <v>0</v>
      </c>
      <c r="AC168" s="16">
        <v>0</v>
      </c>
      <c r="AE168" s="32">
        <f t="shared" si="2"/>
        <v>173746</v>
      </c>
    </row>
    <row r="169" spans="1:31" ht="12.75" customHeight="1">
      <c r="A169" s="1" t="s">
        <v>189</v>
      </c>
      <c r="C169" s="1" t="s">
        <v>190</v>
      </c>
      <c r="D169" s="16"/>
      <c r="E169" s="16">
        <v>216138</v>
      </c>
      <c r="G169" s="16">
        <v>421072</v>
      </c>
      <c r="I169" s="16">
        <v>97532</v>
      </c>
      <c r="K169" s="16">
        <v>0</v>
      </c>
      <c r="M169" s="16">
        <v>57818</v>
      </c>
      <c r="O169" s="16">
        <v>8901</v>
      </c>
      <c r="Q169" s="16">
        <v>12602</v>
      </c>
      <c r="S169" s="16">
        <v>9429</v>
      </c>
      <c r="U169" s="16">
        <v>0</v>
      </c>
      <c r="W169" s="16">
        <v>0</v>
      </c>
      <c r="Y169" s="16">
        <v>0</v>
      </c>
      <c r="AA169" s="16">
        <v>0</v>
      </c>
      <c r="AC169" s="16">
        <v>98202</v>
      </c>
      <c r="AE169" s="32">
        <f t="shared" si="2"/>
        <v>921694</v>
      </c>
    </row>
    <row r="170" spans="1:31" ht="12.75" customHeight="1">
      <c r="A170" s="1" t="s">
        <v>666</v>
      </c>
      <c r="C170" s="1" t="s">
        <v>309</v>
      </c>
      <c r="E170" s="16">
        <v>24400</v>
      </c>
      <c r="G170" s="16">
        <v>0</v>
      </c>
      <c r="I170" s="16">
        <v>16189</v>
      </c>
      <c r="K170" s="16">
        <v>0</v>
      </c>
      <c r="M170" s="16">
        <v>0</v>
      </c>
      <c r="O170" s="16">
        <v>13984</v>
      </c>
      <c r="Q170" s="16">
        <v>588</v>
      </c>
      <c r="S170" s="16">
        <v>41</v>
      </c>
      <c r="U170" s="16">
        <v>0</v>
      </c>
      <c r="W170" s="16">
        <v>0</v>
      </c>
      <c r="Y170" s="16">
        <v>0</v>
      </c>
      <c r="AA170" s="16">
        <v>0</v>
      </c>
      <c r="AC170" s="16">
        <v>0</v>
      </c>
      <c r="AE170" s="32">
        <f t="shared" si="2"/>
        <v>55202</v>
      </c>
    </row>
    <row r="171" spans="1:31" ht="12.75" customHeight="1">
      <c r="A171" s="1" t="s">
        <v>766</v>
      </c>
      <c r="C171" s="1" t="s">
        <v>190</v>
      </c>
      <c r="E171" s="16">
        <v>35908</v>
      </c>
      <c r="G171" s="16">
        <v>182299</v>
      </c>
      <c r="I171" s="16">
        <v>82597</v>
      </c>
      <c r="K171" s="16">
        <v>0</v>
      </c>
      <c r="M171" s="16">
        <v>0</v>
      </c>
      <c r="O171" s="16">
        <v>0</v>
      </c>
      <c r="Q171" s="16">
        <v>5413</v>
      </c>
      <c r="S171" s="16">
        <v>6202</v>
      </c>
      <c r="U171" s="16">
        <v>0</v>
      </c>
      <c r="W171" s="16">
        <v>0</v>
      </c>
      <c r="Y171" s="16">
        <v>0</v>
      </c>
      <c r="AA171" s="16">
        <v>0</v>
      </c>
      <c r="AC171" s="16">
        <v>0</v>
      </c>
      <c r="AE171" s="32">
        <f t="shared" si="2"/>
        <v>312419</v>
      </c>
    </row>
    <row r="172" spans="1:31" ht="12.75" customHeight="1">
      <c r="A172" s="1" t="s">
        <v>697</v>
      </c>
      <c r="C172" s="1" t="s">
        <v>225</v>
      </c>
      <c r="E172" s="16">
        <v>24292</v>
      </c>
      <c r="G172" s="16">
        <v>0</v>
      </c>
      <c r="I172" s="16">
        <v>44135</v>
      </c>
      <c r="K172" s="16">
        <v>0</v>
      </c>
      <c r="M172" s="16">
        <v>48128</v>
      </c>
      <c r="O172" s="16">
        <v>285</v>
      </c>
      <c r="Q172" s="16">
        <v>6157</v>
      </c>
      <c r="S172" s="16">
        <v>871</v>
      </c>
      <c r="U172" s="16">
        <v>0</v>
      </c>
      <c r="W172" s="16">
        <v>0</v>
      </c>
      <c r="Y172" s="16">
        <v>18170</v>
      </c>
      <c r="AA172" s="16">
        <v>0</v>
      </c>
      <c r="AC172" s="16">
        <v>0</v>
      </c>
      <c r="AE172" s="32">
        <f t="shared" si="2"/>
        <v>142038</v>
      </c>
    </row>
    <row r="173" spans="1:31" ht="12.75" customHeight="1">
      <c r="A173" s="1" t="s">
        <v>191</v>
      </c>
      <c r="C173" s="1" t="s">
        <v>192</v>
      </c>
      <c r="D173" s="16"/>
      <c r="E173" s="16">
        <v>2883</v>
      </c>
      <c r="G173" s="16">
        <v>14536</v>
      </c>
      <c r="I173" s="16">
        <v>0</v>
      </c>
      <c r="K173" s="16">
        <v>0</v>
      </c>
      <c r="M173" s="16">
        <v>0</v>
      </c>
      <c r="O173" s="16">
        <v>0</v>
      </c>
      <c r="Q173" s="16">
        <v>183</v>
      </c>
      <c r="S173" s="16">
        <v>1536</v>
      </c>
      <c r="U173" s="16">
        <v>0</v>
      </c>
      <c r="W173" s="16">
        <v>0</v>
      </c>
      <c r="Y173" s="16">
        <v>0</v>
      </c>
      <c r="AA173" s="16">
        <v>0</v>
      </c>
      <c r="AC173" s="16">
        <v>0</v>
      </c>
      <c r="AE173" s="32">
        <f t="shared" si="2"/>
        <v>19138</v>
      </c>
    </row>
    <row r="174" spans="1:31" ht="12.75" customHeight="1">
      <c r="A174" s="1" t="s">
        <v>448</v>
      </c>
      <c r="C174" s="1" t="s">
        <v>447</v>
      </c>
      <c r="E174" s="16">
        <v>98265</v>
      </c>
      <c r="G174" s="16">
        <v>0</v>
      </c>
      <c r="I174" s="16">
        <v>88678</v>
      </c>
      <c r="K174" s="16">
        <v>0</v>
      </c>
      <c r="M174" s="16">
        <v>0</v>
      </c>
      <c r="O174" s="16">
        <v>28793</v>
      </c>
      <c r="Q174" s="16">
        <v>1606</v>
      </c>
      <c r="S174" s="16">
        <v>600</v>
      </c>
      <c r="U174" s="16">
        <v>0</v>
      </c>
      <c r="W174" s="16">
        <v>0</v>
      </c>
      <c r="Y174" s="16">
        <v>0</v>
      </c>
      <c r="AA174" s="16">
        <v>0</v>
      </c>
      <c r="AC174" s="16">
        <v>0</v>
      </c>
      <c r="AE174" s="32">
        <f t="shared" si="2"/>
        <v>217942</v>
      </c>
    </row>
    <row r="175" spans="1:31" ht="12.75" customHeight="1">
      <c r="A175" s="1" t="s">
        <v>674</v>
      </c>
      <c r="C175" s="1" t="s">
        <v>215</v>
      </c>
      <c r="E175" s="16">
        <v>178001</v>
      </c>
      <c r="G175" s="16">
        <v>248597</v>
      </c>
      <c r="I175" s="16">
        <v>67232</v>
      </c>
      <c r="K175" s="16">
        <v>120</v>
      </c>
      <c r="M175" s="16">
        <v>16097</v>
      </c>
      <c r="O175" s="16">
        <v>7311</v>
      </c>
      <c r="Q175" s="16">
        <v>23977</v>
      </c>
      <c r="S175" s="16">
        <v>7369</v>
      </c>
      <c r="U175" s="16">
        <v>0</v>
      </c>
      <c r="W175" s="16">
        <v>0</v>
      </c>
      <c r="Y175" s="16">
        <v>0</v>
      </c>
      <c r="AA175" s="16">
        <v>0</v>
      </c>
      <c r="AC175" s="16">
        <v>0</v>
      </c>
      <c r="AE175" s="32">
        <f t="shared" si="2"/>
        <v>548704</v>
      </c>
    </row>
    <row r="176" spans="1:31" ht="12.75" customHeight="1">
      <c r="A176" s="1" t="s">
        <v>565</v>
      </c>
      <c r="C176" s="1" t="s">
        <v>73</v>
      </c>
      <c r="E176" s="16">
        <v>320445</v>
      </c>
      <c r="G176" s="16">
        <v>323179</v>
      </c>
      <c r="I176" s="16">
        <v>66228</v>
      </c>
      <c r="K176" s="16">
        <v>0</v>
      </c>
      <c r="M176" s="16">
        <v>39750</v>
      </c>
      <c r="O176" s="16">
        <v>91100</v>
      </c>
      <c r="Q176" s="16">
        <v>548</v>
      </c>
      <c r="S176" s="16">
        <v>18983</v>
      </c>
      <c r="U176" s="16">
        <v>0</v>
      </c>
      <c r="W176" s="16">
        <v>0</v>
      </c>
      <c r="Y176" s="16">
        <v>0</v>
      </c>
      <c r="AA176" s="16">
        <v>0</v>
      </c>
      <c r="AC176" s="16">
        <v>32827</v>
      </c>
      <c r="AE176" s="32">
        <f t="shared" si="2"/>
        <v>893060</v>
      </c>
    </row>
    <row r="177" spans="1:31" ht="12.75" customHeight="1">
      <c r="A177" s="1" t="s">
        <v>599</v>
      </c>
      <c r="C177" s="1" t="s">
        <v>69</v>
      </c>
      <c r="E177" s="16">
        <v>10537</v>
      </c>
      <c r="G177" s="16">
        <v>0</v>
      </c>
      <c r="I177" s="16">
        <v>14301</v>
      </c>
      <c r="K177" s="16">
        <v>0</v>
      </c>
      <c r="M177" s="16">
        <v>3100</v>
      </c>
      <c r="O177" s="16">
        <v>28885</v>
      </c>
      <c r="Q177" s="16">
        <v>52</v>
      </c>
      <c r="S177" s="16">
        <v>243</v>
      </c>
      <c r="U177" s="16">
        <v>0</v>
      </c>
      <c r="W177" s="16">
        <v>0</v>
      </c>
      <c r="Y177" s="16">
        <v>0</v>
      </c>
      <c r="AA177" s="16">
        <v>0</v>
      </c>
      <c r="AC177" s="16">
        <v>0</v>
      </c>
      <c r="AE177" s="32">
        <f t="shared" si="2"/>
        <v>57118</v>
      </c>
    </row>
    <row r="178" spans="1:31" ht="12.75" customHeight="1">
      <c r="A178" s="1" t="s">
        <v>193</v>
      </c>
      <c r="C178" s="1" t="s">
        <v>194</v>
      </c>
      <c r="D178" s="16"/>
      <c r="E178" s="16">
        <f>142674+23392</f>
        <v>166066</v>
      </c>
      <c r="G178" s="16">
        <v>0</v>
      </c>
      <c r="I178" s="16">
        <f>33792</f>
        <v>33792</v>
      </c>
      <c r="K178" s="16">
        <v>17957</v>
      </c>
      <c r="M178" s="16">
        <v>40872</v>
      </c>
      <c r="O178" s="16">
        <f>3328+37252+1</f>
        <v>40581</v>
      </c>
      <c r="Q178" s="16">
        <f>1529</f>
        <v>1529</v>
      </c>
      <c r="S178" s="16">
        <f>45724</f>
        <v>45724</v>
      </c>
      <c r="U178" s="16">
        <v>0</v>
      </c>
      <c r="W178" s="16">
        <v>0</v>
      </c>
      <c r="Y178" s="16">
        <v>0</v>
      </c>
      <c r="AA178" s="16">
        <v>978</v>
      </c>
      <c r="AC178" s="16">
        <v>0</v>
      </c>
      <c r="AE178" s="32">
        <f t="shared" si="2"/>
        <v>347499</v>
      </c>
    </row>
    <row r="179" spans="1:31" ht="12.75" customHeight="1">
      <c r="A179" s="1" t="s">
        <v>195</v>
      </c>
      <c r="C179" s="1" t="s">
        <v>73</v>
      </c>
      <c r="D179" s="16"/>
      <c r="E179" s="16">
        <v>0</v>
      </c>
      <c r="G179" s="16">
        <v>8131633</v>
      </c>
      <c r="I179" s="16">
        <v>395938</v>
      </c>
      <c r="K179" s="16">
        <v>0</v>
      </c>
      <c r="M179" s="16">
        <v>184014</v>
      </c>
      <c r="O179" s="16">
        <v>215194</v>
      </c>
      <c r="Q179" s="16">
        <v>198438</v>
      </c>
      <c r="S179" s="16">
        <v>0</v>
      </c>
      <c r="U179" s="16">
        <v>0</v>
      </c>
      <c r="W179" s="16">
        <v>3284</v>
      </c>
      <c r="Y179" s="16">
        <v>145576</v>
      </c>
      <c r="AA179" s="16">
        <v>0</v>
      </c>
      <c r="AC179" s="16">
        <v>20421</v>
      </c>
      <c r="AE179" s="32">
        <f t="shared" si="2"/>
        <v>9294498</v>
      </c>
    </row>
    <row r="180" spans="1:31" ht="12.75" customHeight="1">
      <c r="A180" s="1" t="s">
        <v>566</v>
      </c>
      <c r="C180" s="1" t="s">
        <v>73</v>
      </c>
      <c r="E180" s="16">
        <v>156250</v>
      </c>
      <c r="G180" s="16">
        <v>1814428</v>
      </c>
      <c r="I180" s="16">
        <v>150924</v>
      </c>
      <c r="K180" s="16">
        <v>0</v>
      </c>
      <c r="M180" s="16">
        <v>13287</v>
      </c>
      <c r="O180" s="16">
        <v>92703</v>
      </c>
      <c r="Q180" s="16">
        <v>12711</v>
      </c>
      <c r="S180" s="16">
        <v>52023</v>
      </c>
      <c r="U180" s="16">
        <v>0</v>
      </c>
      <c r="W180" s="16">
        <v>0</v>
      </c>
      <c r="Y180" s="16">
        <v>0</v>
      </c>
      <c r="AA180" s="16">
        <v>0</v>
      </c>
      <c r="AC180" s="16">
        <v>0</v>
      </c>
      <c r="AE180" s="32">
        <f t="shared" si="2"/>
        <v>2292326</v>
      </c>
    </row>
    <row r="181" spans="1:31" ht="12.75" customHeight="1">
      <c r="A181" s="1" t="s">
        <v>196</v>
      </c>
      <c r="C181" s="1" t="s">
        <v>197</v>
      </c>
      <c r="D181" s="16"/>
      <c r="E181" s="16">
        <v>904966</v>
      </c>
      <c r="G181" s="16">
        <v>0</v>
      </c>
      <c r="I181" s="16">
        <v>421370</v>
      </c>
      <c r="K181" s="16">
        <v>0</v>
      </c>
      <c r="M181" s="16">
        <v>57115</v>
      </c>
      <c r="O181" s="16">
        <f>5128+18284</f>
        <v>23412</v>
      </c>
      <c r="Q181" s="16">
        <v>10892</v>
      </c>
      <c r="S181" s="16">
        <f>126106</f>
        <v>126106</v>
      </c>
      <c r="U181" s="16">
        <v>0</v>
      </c>
      <c r="W181" s="16">
        <v>0</v>
      </c>
      <c r="Y181" s="16">
        <v>0</v>
      </c>
      <c r="AA181" s="16">
        <v>70000</v>
      </c>
      <c r="AC181" s="16">
        <v>0</v>
      </c>
      <c r="AE181" s="32">
        <f t="shared" si="2"/>
        <v>1613861</v>
      </c>
    </row>
    <row r="182" spans="1:31" ht="12.75" customHeight="1">
      <c r="A182" s="1" t="s">
        <v>198</v>
      </c>
      <c r="C182" s="1" t="s">
        <v>199</v>
      </c>
      <c r="D182" s="16"/>
      <c r="E182" s="16">
        <v>2760</v>
      </c>
      <c r="G182" s="16">
        <v>0</v>
      </c>
      <c r="I182" s="16">
        <v>3796</v>
      </c>
      <c r="K182" s="16">
        <v>0</v>
      </c>
      <c r="M182" s="16">
        <v>0</v>
      </c>
      <c r="O182" s="16">
        <v>0</v>
      </c>
      <c r="Q182" s="16">
        <v>20</v>
      </c>
      <c r="S182" s="16">
        <v>4289</v>
      </c>
      <c r="U182" s="16">
        <v>0</v>
      </c>
      <c r="W182" s="16">
        <v>0</v>
      </c>
      <c r="Y182" s="16">
        <v>0</v>
      </c>
      <c r="AA182" s="16">
        <v>0</v>
      </c>
      <c r="AC182" s="16">
        <v>0</v>
      </c>
      <c r="AE182" s="32">
        <f t="shared" si="2"/>
        <v>10865</v>
      </c>
    </row>
    <row r="183" spans="1:31" ht="12.75" customHeight="1">
      <c r="A183" s="1" t="s">
        <v>662</v>
      </c>
      <c r="C183" s="1" t="s">
        <v>217</v>
      </c>
      <c r="E183" s="16">
        <v>83058</v>
      </c>
      <c r="G183" s="16">
        <v>125531</v>
      </c>
      <c r="I183" s="16">
        <v>29773</v>
      </c>
      <c r="K183" s="16">
        <v>0</v>
      </c>
      <c r="M183" s="16">
        <v>3935</v>
      </c>
      <c r="O183" s="16">
        <v>785</v>
      </c>
      <c r="Q183" s="16">
        <v>1225</v>
      </c>
      <c r="S183" s="16">
        <v>16388</v>
      </c>
      <c r="U183" s="16">
        <v>0</v>
      </c>
      <c r="W183" s="16">
        <v>0</v>
      </c>
      <c r="Y183" s="16">
        <v>0</v>
      </c>
      <c r="AA183" s="16">
        <v>0</v>
      </c>
      <c r="AC183" s="16">
        <v>0</v>
      </c>
      <c r="AE183" s="32">
        <f t="shared" si="2"/>
        <v>260695</v>
      </c>
    </row>
    <row r="184" spans="1:31" ht="12.75" customHeight="1">
      <c r="A184" s="1" t="s">
        <v>200</v>
      </c>
      <c r="C184" s="1" t="s">
        <v>87</v>
      </c>
      <c r="D184" s="16"/>
      <c r="E184" s="16">
        <v>69400</v>
      </c>
      <c r="G184" s="16">
        <v>327667</v>
      </c>
      <c r="I184" s="16">
        <v>82022</v>
      </c>
      <c r="K184" s="16">
        <v>0</v>
      </c>
      <c r="M184" s="16">
        <v>976</v>
      </c>
      <c r="O184" s="16">
        <v>15292</v>
      </c>
      <c r="Q184" s="16">
        <v>8721</v>
      </c>
      <c r="S184" s="16">
        <v>12964</v>
      </c>
      <c r="U184" s="16">
        <v>0</v>
      </c>
      <c r="W184" s="16">
        <v>3181</v>
      </c>
      <c r="Y184" s="16">
        <v>0</v>
      </c>
      <c r="AA184" s="16">
        <v>0</v>
      </c>
      <c r="AC184" s="16">
        <v>0</v>
      </c>
      <c r="AE184" s="32">
        <f t="shared" si="2"/>
        <v>520223</v>
      </c>
    </row>
    <row r="185" spans="1:31" ht="12.75" customHeight="1">
      <c r="A185" s="1" t="s">
        <v>473</v>
      </c>
      <c r="C185" s="1" t="s">
        <v>246</v>
      </c>
      <c r="E185" s="16">
        <v>37460</v>
      </c>
      <c r="G185" s="16">
        <v>0</v>
      </c>
      <c r="I185" s="16">
        <v>14384</v>
      </c>
      <c r="K185" s="16">
        <v>0</v>
      </c>
      <c r="M185" s="16">
        <v>4850</v>
      </c>
      <c r="O185" s="16">
        <v>67479</v>
      </c>
      <c r="Q185" s="16">
        <v>314</v>
      </c>
      <c r="S185" s="16">
        <v>1710</v>
      </c>
      <c r="U185" s="16">
        <v>8000</v>
      </c>
      <c r="W185" s="16">
        <v>0</v>
      </c>
      <c r="Y185" s="16">
        <v>0</v>
      </c>
      <c r="AA185" s="16">
        <v>0</v>
      </c>
      <c r="AC185" s="16">
        <v>0</v>
      </c>
      <c r="AE185" s="32">
        <f t="shared" si="2"/>
        <v>134197</v>
      </c>
    </row>
    <row r="186" spans="1:31" ht="12.75" customHeight="1">
      <c r="A186" s="1" t="s">
        <v>201</v>
      </c>
      <c r="C186" s="1" t="s">
        <v>102</v>
      </c>
      <c r="D186" s="16"/>
      <c r="E186" s="16">
        <v>23459</v>
      </c>
      <c r="G186" s="16">
        <v>18952</v>
      </c>
      <c r="I186" s="16">
        <v>80271</v>
      </c>
      <c r="K186" s="16">
        <v>0</v>
      </c>
      <c r="M186" s="16">
        <v>30</v>
      </c>
      <c r="O186" s="16">
        <v>17392</v>
      </c>
      <c r="Q186" s="16">
        <v>4715</v>
      </c>
      <c r="S186" s="16">
        <v>5780</v>
      </c>
      <c r="U186" s="16">
        <v>0</v>
      </c>
      <c r="W186" s="16">
        <v>0</v>
      </c>
      <c r="Y186" s="16">
        <v>0</v>
      </c>
      <c r="AA186" s="16">
        <v>0</v>
      </c>
      <c r="AC186" s="16">
        <v>0</v>
      </c>
      <c r="AE186" s="32">
        <f t="shared" si="2"/>
        <v>150599</v>
      </c>
    </row>
    <row r="187" spans="1:31" ht="12.75" customHeight="1">
      <c r="A187" s="1" t="s">
        <v>654</v>
      </c>
      <c r="C187" s="1" t="s">
        <v>155</v>
      </c>
      <c r="E187" s="16">
        <v>3473</v>
      </c>
      <c r="G187" s="16">
        <v>0</v>
      </c>
      <c r="I187" s="16">
        <v>28047</v>
      </c>
      <c r="K187" s="16">
        <v>10257</v>
      </c>
      <c r="M187" s="16">
        <v>0</v>
      </c>
      <c r="O187" s="16">
        <v>10208</v>
      </c>
      <c r="Q187" s="16">
        <v>602</v>
      </c>
      <c r="S187" s="16">
        <v>2796</v>
      </c>
      <c r="U187" s="16">
        <v>0</v>
      </c>
      <c r="W187" s="16">
        <v>0</v>
      </c>
      <c r="Y187" s="16">
        <v>0</v>
      </c>
      <c r="AA187" s="16">
        <v>0</v>
      </c>
      <c r="AC187" s="16">
        <v>0</v>
      </c>
      <c r="AE187" s="32">
        <f t="shared" si="2"/>
        <v>55383</v>
      </c>
    </row>
    <row r="188" spans="1:31" ht="12.75" customHeight="1">
      <c r="A188" s="1" t="s">
        <v>584</v>
      </c>
      <c r="C188" s="1" t="s">
        <v>239</v>
      </c>
      <c r="E188" s="16">
        <v>12826</v>
      </c>
      <c r="G188" s="16">
        <v>0</v>
      </c>
      <c r="I188" s="16">
        <v>9041</v>
      </c>
      <c r="K188" s="16">
        <v>0</v>
      </c>
      <c r="M188" s="16">
        <v>0</v>
      </c>
      <c r="O188" s="16">
        <v>0</v>
      </c>
      <c r="Q188" s="16">
        <v>3520</v>
      </c>
      <c r="S188" s="16">
        <v>1418</v>
      </c>
      <c r="U188" s="16">
        <v>0</v>
      </c>
      <c r="W188" s="16">
        <v>0</v>
      </c>
      <c r="Y188" s="16">
        <v>0</v>
      </c>
      <c r="AA188" s="16">
        <v>0</v>
      </c>
      <c r="AC188" s="16">
        <v>0</v>
      </c>
      <c r="AE188" s="32">
        <f t="shared" si="2"/>
        <v>26805</v>
      </c>
    </row>
    <row r="189" spans="1:31" ht="12.75" customHeight="1">
      <c r="A189" s="1" t="s">
        <v>467</v>
      </c>
      <c r="C189" s="1" t="s">
        <v>100</v>
      </c>
      <c r="E189" s="16">
        <v>16920</v>
      </c>
      <c r="G189" s="16">
        <v>0</v>
      </c>
      <c r="I189" s="16">
        <v>56431</v>
      </c>
      <c r="K189" s="16">
        <v>0</v>
      </c>
      <c r="M189" s="16">
        <v>0</v>
      </c>
      <c r="O189" s="16">
        <v>89</v>
      </c>
      <c r="Q189" s="16">
        <v>7528</v>
      </c>
      <c r="S189" s="16">
        <v>3073</v>
      </c>
      <c r="U189" s="16">
        <v>0</v>
      </c>
      <c r="W189" s="16">
        <v>0</v>
      </c>
      <c r="Y189" s="16">
        <v>0</v>
      </c>
      <c r="AA189" s="16">
        <v>10000</v>
      </c>
      <c r="AC189" s="16">
        <v>0</v>
      </c>
      <c r="AE189" s="32">
        <f t="shared" si="2"/>
        <v>94041</v>
      </c>
    </row>
    <row r="190" spans="1:31" ht="12.75" customHeight="1">
      <c r="A190" s="1" t="s">
        <v>202</v>
      </c>
      <c r="C190" s="1" t="s">
        <v>65</v>
      </c>
      <c r="D190" s="16"/>
      <c r="E190" s="16">
        <v>27685</v>
      </c>
      <c r="G190" s="16">
        <v>221196</v>
      </c>
      <c r="I190" s="16">
        <v>115613</v>
      </c>
      <c r="K190" s="16">
        <v>0</v>
      </c>
      <c r="M190" s="16">
        <v>0</v>
      </c>
      <c r="O190" s="16">
        <v>4562</v>
      </c>
      <c r="Q190" s="16">
        <v>7394</v>
      </c>
      <c r="S190" s="16">
        <v>12583</v>
      </c>
      <c r="U190" s="16">
        <v>0</v>
      </c>
      <c r="W190" s="16">
        <v>0</v>
      </c>
      <c r="Y190" s="16">
        <v>0</v>
      </c>
      <c r="AA190" s="16">
        <v>0</v>
      </c>
      <c r="AC190" s="16">
        <v>0</v>
      </c>
      <c r="AE190" s="32">
        <f t="shared" si="2"/>
        <v>389033</v>
      </c>
    </row>
    <row r="191" spans="1:31" ht="12.75" customHeight="1">
      <c r="A191" s="1" t="s">
        <v>703</v>
      </c>
      <c r="C191" s="1" t="s">
        <v>110</v>
      </c>
      <c r="E191" s="16">
        <v>11790</v>
      </c>
      <c r="G191" s="16">
        <v>73666</v>
      </c>
      <c r="I191" s="16">
        <v>66002</v>
      </c>
      <c r="K191" s="16">
        <v>0</v>
      </c>
      <c r="M191" s="16">
        <v>0</v>
      </c>
      <c r="O191" s="16">
        <v>243</v>
      </c>
      <c r="Q191" s="16">
        <v>5921</v>
      </c>
      <c r="S191" s="16">
        <v>1879</v>
      </c>
      <c r="U191" s="16">
        <v>0</v>
      </c>
      <c r="W191" s="16">
        <v>0</v>
      </c>
      <c r="Y191" s="16">
        <v>0</v>
      </c>
      <c r="AA191" s="16">
        <v>65000</v>
      </c>
      <c r="AC191" s="16">
        <v>0</v>
      </c>
      <c r="AE191" s="32">
        <f t="shared" si="2"/>
        <v>224501</v>
      </c>
    </row>
    <row r="192" spans="1:31" ht="12.75" customHeight="1">
      <c r="A192" s="1" t="s">
        <v>727</v>
      </c>
      <c r="C192" s="1" t="s">
        <v>131</v>
      </c>
      <c r="E192" s="16">
        <v>91230</v>
      </c>
      <c r="G192" s="16">
        <v>681810</v>
      </c>
      <c r="I192" s="16">
        <v>76196</v>
      </c>
      <c r="K192" s="16">
        <v>0</v>
      </c>
      <c r="M192" s="16">
        <v>6951</v>
      </c>
      <c r="O192" s="16">
        <v>3625</v>
      </c>
      <c r="Q192" s="16">
        <v>10792</v>
      </c>
      <c r="S192" s="16">
        <v>13724</v>
      </c>
      <c r="U192" s="16">
        <v>0</v>
      </c>
      <c r="W192" s="16">
        <v>54696</v>
      </c>
      <c r="Y192" s="16">
        <v>0</v>
      </c>
      <c r="AA192" s="16">
        <v>13046</v>
      </c>
      <c r="AC192" s="16">
        <v>0</v>
      </c>
      <c r="AE192" s="32">
        <f t="shared" si="2"/>
        <v>952070</v>
      </c>
    </row>
    <row r="193" spans="1:31" ht="12.75" customHeight="1">
      <c r="A193" s="1" t="s">
        <v>203</v>
      </c>
      <c r="C193" s="1" t="s">
        <v>167</v>
      </c>
      <c r="D193" s="16"/>
      <c r="E193" s="16">
        <v>105634</v>
      </c>
      <c r="G193" s="16">
        <v>0</v>
      </c>
      <c r="I193" s="16">
        <v>82239</v>
      </c>
      <c r="K193" s="16">
        <v>14899</v>
      </c>
      <c r="M193" s="16">
        <v>3710</v>
      </c>
      <c r="O193" s="16">
        <v>537</v>
      </c>
      <c r="Q193" s="16">
        <v>1771</v>
      </c>
      <c r="S193" s="16">
        <v>6968</v>
      </c>
      <c r="U193" s="16">
        <v>0</v>
      </c>
      <c r="W193" s="16">
        <v>0</v>
      </c>
      <c r="Y193" s="16">
        <v>175000</v>
      </c>
      <c r="AA193" s="16">
        <v>0</v>
      </c>
      <c r="AC193" s="16">
        <v>20441</v>
      </c>
      <c r="AE193" s="32">
        <f t="shared" si="2"/>
        <v>411199</v>
      </c>
    </row>
    <row r="194" spans="1:31" ht="12.75" customHeight="1">
      <c r="A194" s="1" t="s">
        <v>204</v>
      </c>
      <c r="C194" s="1" t="s">
        <v>126</v>
      </c>
      <c r="D194" s="1"/>
      <c r="E194" s="16">
        <v>64950</v>
      </c>
      <c r="G194" s="16">
        <v>0</v>
      </c>
      <c r="I194" s="16">
        <v>138269</v>
      </c>
      <c r="K194" s="16">
        <v>0</v>
      </c>
      <c r="M194" s="16">
        <v>0</v>
      </c>
      <c r="O194" s="16">
        <v>32348</v>
      </c>
      <c r="Q194" s="16">
        <v>3293</v>
      </c>
      <c r="S194" s="16">
        <v>2111</v>
      </c>
      <c r="U194" s="16">
        <v>0</v>
      </c>
      <c r="W194" s="16">
        <v>0</v>
      </c>
      <c r="Y194" s="16">
        <v>0</v>
      </c>
      <c r="AA194" s="16">
        <v>0</v>
      </c>
      <c r="AC194" s="16">
        <v>19243</v>
      </c>
      <c r="AE194" s="32">
        <f t="shared" si="2"/>
        <v>260214</v>
      </c>
    </row>
    <row r="195" spans="1:31" ht="12.75" customHeight="1">
      <c r="A195" s="1" t="s">
        <v>715</v>
      </c>
      <c r="C195" s="1" t="s">
        <v>712</v>
      </c>
      <c r="E195" s="16">
        <v>29288</v>
      </c>
      <c r="G195" s="16">
        <v>0</v>
      </c>
      <c r="I195" s="16">
        <v>56850</v>
      </c>
      <c r="K195" s="16">
        <v>0</v>
      </c>
      <c r="M195" s="16">
        <v>0</v>
      </c>
      <c r="O195" s="16">
        <v>0</v>
      </c>
      <c r="Q195" s="16">
        <v>26709</v>
      </c>
      <c r="S195" s="16">
        <v>0</v>
      </c>
      <c r="U195" s="16">
        <v>0</v>
      </c>
      <c r="W195" s="16">
        <v>0</v>
      </c>
      <c r="Y195" s="16">
        <v>0</v>
      </c>
      <c r="AA195" s="16">
        <v>0</v>
      </c>
      <c r="AC195" s="16">
        <v>4669</v>
      </c>
      <c r="AE195" s="32">
        <f t="shared" si="2"/>
        <v>117516</v>
      </c>
    </row>
    <row r="196" spans="1:31" ht="12.75" customHeight="1">
      <c r="A196" s="1" t="s">
        <v>669</v>
      </c>
      <c r="C196" s="1" t="s">
        <v>67</v>
      </c>
      <c r="E196" s="16">
        <v>16191</v>
      </c>
      <c r="G196" s="16">
        <v>168851</v>
      </c>
      <c r="I196" s="16">
        <v>24258</v>
      </c>
      <c r="K196" s="16">
        <v>0</v>
      </c>
      <c r="M196" s="16">
        <v>13596</v>
      </c>
      <c r="O196" s="16">
        <v>23194</v>
      </c>
      <c r="Q196" s="16">
        <v>0</v>
      </c>
      <c r="S196" s="16">
        <v>0</v>
      </c>
      <c r="U196" s="16">
        <v>0</v>
      </c>
      <c r="W196" s="16">
        <v>0</v>
      </c>
      <c r="Y196" s="16">
        <v>0</v>
      </c>
      <c r="AA196" s="16">
        <v>0</v>
      </c>
      <c r="AC196" s="16">
        <v>54446</v>
      </c>
      <c r="AE196" s="32">
        <f t="shared" si="2"/>
        <v>300536</v>
      </c>
    </row>
    <row r="197" spans="1:31" ht="12.75" customHeight="1">
      <c r="A197" s="1" t="s">
        <v>205</v>
      </c>
      <c r="C197" s="1" t="s">
        <v>84</v>
      </c>
      <c r="D197" s="16"/>
      <c r="E197" s="16">
        <f>34283</f>
        <v>34283</v>
      </c>
      <c r="G197" s="16">
        <v>0</v>
      </c>
      <c r="I197" s="16">
        <v>18302</v>
      </c>
      <c r="K197" s="16">
        <v>0</v>
      </c>
      <c r="M197" s="16">
        <v>13500</v>
      </c>
      <c r="O197" s="16">
        <v>0</v>
      </c>
      <c r="Q197" s="16">
        <v>0</v>
      </c>
      <c r="S197" s="16">
        <v>7424</v>
      </c>
      <c r="U197" s="16">
        <v>0</v>
      </c>
      <c r="W197" s="16">
        <v>0</v>
      </c>
      <c r="Y197" s="16">
        <v>0</v>
      </c>
      <c r="AA197" s="16">
        <v>0</v>
      </c>
      <c r="AC197" s="16">
        <v>0</v>
      </c>
      <c r="AE197" s="32">
        <f t="shared" si="2"/>
        <v>73509</v>
      </c>
    </row>
    <row r="198" spans="1:31" ht="12.75" customHeight="1">
      <c r="A198" s="1" t="s">
        <v>206</v>
      </c>
      <c r="C198" s="1" t="s">
        <v>182</v>
      </c>
      <c r="D198" s="16"/>
      <c r="E198" s="16">
        <v>172113</v>
      </c>
      <c r="G198" s="16">
        <v>380866</v>
      </c>
      <c r="I198" s="16">
        <v>86666</v>
      </c>
      <c r="K198" s="16">
        <v>0</v>
      </c>
      <c r="M198" s="16">
        <v>0</v>
      </c>
      <c r="O198" s="16">
        <v>6630</v>
      </c>
      <c r="Q198" s="16">
        <v>3681</v>
      </c>
      <c r="S198" s="16">
        <v>22757</v>
      </c>
      <c r="U198" s="16">
        <v>0</v>
      </c>
      <c r="W198" s="16">
        <v>0</v>
      </c>
      <c r="Y198" s="16">
        <v>0</v>
      </c>
      <c r="AA198" s="16">
        <v>0</v>
      </c>
      <c r="AC198" s="16">
        <v>0</v>
      </c>
      <c r="AE198" s="32">
        <f t="shared" si="2"/>
        <v>672713</v>
      </c>
    </row>
    <row r="199" spans="1:31" ht="12.75" customHeight="1">
      <c r="A199" s="1" t="s">
        <v>207</v>
      </c>
      <c r="C199" s="1" t="s">
        <v>133</v>
      </c>
      <c r="D199" s="16"/>
      <c r="E199" s="16">
        <v>50097</v>
      </c>
      <c r="G199" s="16">
        <v>59013</v>
      </c>
      <c r="I199" s="16">
        <v>2599</v>
      </c>
      <c r="K199" s="16">
        <v>0</v>
      </c>
      <c r="M199" s="16">
        <v>0</v>
      </c>
      <c r="O199" s="16">
        <v>0</v>
      </c>
      <c r="Q199" s="16">
        <v>65</v>
      </c>
      <c r="S199" s="16">
        <v>2229</v>
      </c>
      <c r="U199" s="16">
        <v>0</v>
      </c>
      <c r="W199" s="16">
        <v>0</v>
      </c>
      <c r="Y199" s="16">
        <v>0</v>
      </c>
      <c r="AA199" s="16">
        <v>0</v>
      </c>
      <c r="AC199" s="16">
        <v>0</v>
      </c>
      <c r="AE199" s="32">
        <f t="shared" si="2"/>
        <v>114003</v>
      </c>
    </row>
    <row r="200" spans="1:31" ht="12.75" customHeight="1">
      <c r="A200" s="1" t="s">
        <v>87</v>
      </c>
      <c r="C200" s="1" t="s">
        <v>309</v>
      </c>
      <c r="E200" s="16">
        <v>8634</v>
      </c>
      <c r="G200" s="16">
        <v>0</v>
      </c>
      <c r="I200" s="16">
        <v>15470</v>
      </c>
      <c r="K200" s="16">
        <v>0</v>
      </c>
      <c r="M200" s="16">
        <v>6260</v>
      </c>
      <c r="O200" s="16">
        <v>1401</v>
      </c>
      <c r="Q200" s="16">
        <v>511</v>
      </c>
      <c r="S200" s="16">
        <v>317</v>
      </c>
      <c r="U200" s="16">
        <v>0</v>
      </c>
      <c r="W200" s="16">
        <v>0</v>
      </c>
      <c r="Y200" s="16">
        <v>0</v>
      </c>
      <c r="AA200" s="16">
        <v>0</v>
      </c>
      <c r="AC200" s="16">
        <v>0</v>
      </c>
      <c r="AE200" s="32">
        <f t="shared" si="2"/>
        <v>32593</v>
      </c>
    </row>
    <row r="201" spans="1:31" ht="12.75" customHeight="1">
      <c r="A201" s="1" t="s">
        <v>208</v>
      </c>
      <c r="C201" s="1" t="s">
        <v>67</v>
      </c>
      <c r="D201" s="16"/>
      <c r="E201" s="16">
        <v>2111</v>
      </c>
      <c r="G201" s="16">
        <v>0</v>
      </c>
      <c r="I201" s="16">
        <v>11513</v>
      </c>
      <c r="K201" s="16">
        <v>0</v>
      </c>
      <c r="M201" s="16">
        <v>0</v>
      </c>
      <c r="O201" s="16">
        <v>0</v>
      </c>
      <c r="Q201" s="16">
        <v>0</v>
      </c>
      <c r="S201" s="16">
        <v>407</v>
      </c>
      <c r="U201" s="16">
        <v>0</v>
      </c>
      <c r="W201" s="16">
        <v>0</v>
      </c>
      <c r="Y201" s="16">
        <v>0</v>
      </c>
      <c r="AA201" s="16">
        <v>0</v>
      </c>
      <c r="AC201" s="16">
        <v>0</v>
      </c>
      <c r="AE201" s="32">
        <f t="shared" si="2"/>
        <v>14031</v>
      </c>
    </row>
    <row r="202" spans="1:31" ht="12.75" customHeight="1">
      <c r="A202" s="1" t="s">
        <v>784</v>
      </c>
      <c r="D202" s="1"/>
      <c r="AA202" s="16"/>
      <c r="AC202" s="16"/>
      <c r="AE202" s="32" t="s">
        <v>785</v>
      </c>
    </row>
    <row r="203" spans="1:44" s="36" customFormat="1" ht="12.75" customHeight="1">
      <c r="A203" s="36" t="s">
        <v>526</v>
      </c>
      <c r="C203" s="36" t="s">
        <v>90</v>
      </c>
      <c r="D203" s="42"/>
      <c r="E203" s="36">
        <v>26853</v>
      </c>
      <c r="G203" s="36">
        <v>113634</v>
      </c>
      <c r="I203" s="36">
        <v>34492</v>
      </c>
      <c r="K203" s="36">
        <v>0</v>
      </c>
      <c r="M203" s="36">
        <v>0</v>
      </c>
      <c r="O203" s="36">
        <v>66545</v>
      </c>
      <c r="Q203" s="36">
        <v>2161</v>
      </c>
      <c r="S203" s="36">
        <v>1115</v>
      </c>
      <c r="U203" s="36">
        <v>0</v>
      </c>
      <c r="W203" s="36">
        <v>0</v>
      </c>
      <c r="Y203" s="36">
        <v>0</v>
      </c>
      <c r="AA203" s="36">
        <v>0</v>
      </c>
      <c r="AB203" s="37"/>
      <c r="AC203" s="36">
        <v>0</v>
      </c>
      <c r="AD203" s="37"/>
      <c r="AE203" s="38">
        <f t="shared" si="2"/>
        <v>244800</v>
      </c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</row>
    <row r="204" spans="1:44" s="16" customFormat="1" ht="12.75" customHeight="1">
      <c r="A204" s="16" t="s">
        <v>209</v>
      </c>
      <c r="C204" s="16" t="s">
        <v>210</v>
      </c>
      <c r="E204" s="16">
        <v>1694313</v>
      </c>
      <c r="G204" s="16">
        <v>0</v>
      </c>
      <c r="I204" s="16">
        <v>163861</v>
      </c>
      <c r="K204" s="16">
        <v>0</v>
      </c>
      <c r="M204" s="16">
        <v>294657</v>
      </c>
      <c r="O204" s="16">
        <v>396027</v>
      </c>
      <c r="Q204" s="16">
        <v>24559</v>
      </c>
      <c r="S204" s="16">
        <v>54884</v>
      </c>
      <c r="U204" s="16">
        <v>0</v>
      </c>
      <c r="W204" s="16">
        <v>0</v>
      </c>
      <c r="Y204" s="16">
        <v>31313</v>
      </c>
      <c r="AA204" s="16">
        <v>5267</v>
      </c>
      <c r="AB204" s="20"/>
      <c r="AC204" s="16">
        <v>0</v>
      </c>
      <c r="AD204" s="20"/>
      <c r="AE204" s="32">
        <f aca="true" t="shared" si="3" ref="AE204:AE268">SUM(E204:AC204)</f>
        <v>2664881</v>
      </c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1:31" ht="12.75" customHeight="1">
      <c r="A205" s="1" t="s">
        <v>211</v>
      </c>
      <c r="C205" s="1" t="s">
        <v>182</v>
      </c>
      <c r="D205" s="16"/>
      <c r="E205" s="16">
        <v>506840</v>
      </c>
      <c r="G205" s="16">
        <v>0</v>
      </c>
      <c r="I205" s="16">
        <v>55981</v>
      </c>
      <c r="K205" s="16">
        <v>0</v>
      </c>
      <c r="M205" s="16">
        <v>11471</v>
      </c>
      <c r="O205" s="16">
        <v>25120</v>
      </c>
      <c r="Q205" s="16">
        <v>0</v>
      </c>
      <c r="S205" s="16">
        <v>16467</v>
      </c>
      <c r="U205" s="16">
        <v>0</v>
      </c>
      <c r="W205" s="16">
        <v>0</v>
      </c>
      <c r="Y205" s="16">
        <v>0</v>
      </c>
      <c r="AA205" s="16">
        <v>0</v>
      </c>
      <c r="AC205" s="16">
        <v>0</v>
      </c>
      <c r="AE205" s="32">
        <f t="shared" si="3"/>
        <v>615879</v>
      </c>
    </row>
    <row r="206" spans="1:31" ht="12.75" customHeight="1">
      <c r="A206" s="1" t="s">
        <v>605</v>
      </c>
      <c r="C206" s="1" t="s">
        <v>182</v>
      </c>
      <c r="E206" s="16">
        <v>1949</v>
      </c>
      <c r="G206" s="16">
        <v>0</v>
      </c>
      <c r="I206" s="16">
        <v>14468</v>
      </c>
      <c r="K206" s="16">
        <v>0</v>
      </c>
      <c r="M206" s="16">
        <v>0</v>
      </c>
      <c r="O206" s="16">
        <v>0</v>
      </c>
      <c r="Q206" s="16">
        <v>391</v>
      </c>
      <c r="S206" s="16">
        <v>872</v>
      </c>
      <c r="U206" s="16">
        <v>0</v>
      </c>
      <c r="W206" s="16">
        <v>0</v>
      </c>
      <c r="Y206" s="16">
        <v>0</v>
      </c>
      <c r="AA206" s="16">
        <v>0</v>
      </c>
      <c r="AC206" s="16">
        <v>0</v>
      </c>
      <c r="AE206" s="32">
        <f t="shared" si="3"/>
        <v>17680</v>
      </c>
    </row>
    <row r="207" spans="1:31" ht="12.75" customHeight="1">
      <c r="A207" s="1" t="s">
        <v>212</v>
      </c>
      <c r="C207" s="1" t="s">
        <v>137</v>
      </c>
      <c r="D207" s="16"/>
      <c r="E207" s="16">
        <v>126181</v>
      </c>
      <c r="G207" s="16">
        <v>688999</v>
      </c>
      <c r="I207" s="16">
        <v>158156</v>
      </c>
      <c r="K207" s="16">
        <v>0</v>
      </c>
      <c r="M207" s="16">
        <v>53797</v>
      </c>
      <c r="O207" s="16">
        <v>16507</v>
      </c>
      <c r="Q207" s="16">
        <v>7405</v>
      </c>
      <c r="S207" s="16">
        <v>50366</v>
      </c>
      <c r="U207" s="16">
        <v>0</v>
      </c>
      <c r="W207" s="16">
        <v>600</v>
      </c>
      <c r="Y207" s="16">
        <v>0</v>
      </c>
      <c r="AA207" s="16">
        <v>0</v>
      </c>
      <c r="AC207" s="16">
        <v>0</v>
      </c>
      <c r="AE207" s="32">
        <f t="shared" si="3"/>
        <v>1102011</v>
      </c>
    </row>
    <row r="208" spans="1:31" ht="12.75" customHeight="1">
      <c r="A208" s="1" t="s">
        <v>213</v>
      </c>
      <c r="C208" s="1" t="s">
        <v>112</v>
      </c>
      <c r="D208" s="16"/>
      <c r="E208" s="16">
        <v>2628149</v>
      </c>
      <c r="G208" s="16">
        <v>0</v>
      </c>
      <c r="I208" s="16">
        <v>683761</v>
      </c>
      <c r="K208" s="16">
        <v>31043</v>
      </c>
      <c r="M208" s="16">
        <v>0</v>
      </c>
      <c r="O208" s="16">
        <v>144901</v>
      </c>
      <c r="Q208" s="16">
        <v>57798</v>
      </c>
      <c r="S208" s="16">
        <v>231850</v>
      </c>
      <c r="U208" s="16">
        <v>0</v>
      </c>
      <c r="W208" s="16">
        <v>0</v>
      </c>
      <c r="Y208" s="16">
        <v>0</v>
      </c>
      <c r="AA208" s="16">
        <v>50000</v>
      </c>
      <c r="AC208" s="16">
        <v>0</v>
      </c>
      <c r="AE208" s="32">
        <f t="shared" si="3"/>
        <v>3827502</v>
      </c>
    </row>
    <row r="209" spans="1:31" ht="12.75" customHeight="1">
      <c r="A209" s="1" t="s">
        <v>456</v>
      </c>
      <c r="C209" s="1" t="s">
        <v>76</v>
      </c>
      <c r="E209" s="16">
        <v>157406</v>
      </c>
      <c r="G209" s="16">
        <v>152668</v>
      </c>
      <c r="I209" s="16">
        <v>49739</v>
      </c>
      <c r="K209" s="16">
        <v>0</v>
      </c>
      <c r="M209" s="16">
        <v>21483</v>
      </c>
      <c r="O209" s="16">
        <v>51138</v>
      </c>
      <c r="Q209" s="16">
        <v>1882</v>
      </c>
      <c r="S209" s="16">
        <v>50403</v>
      </c>
      <c r="U209" s="16">
        <v>0</v>
      </c>
      <c r="W209" s="16">
        <v>0</v>
      </c>
      <c r="Y209" s="16">
        <v>0</v>
      </c>
      <c r="AA209" s="16">
        <v>0</v>
      </c>
      <c r="AC209" s="16">
        <v>0</v>
      </c>
      <c r="AE209" s="32">
        <f t="shared" si="3"/>
        <v>484719</v>
      </c>
    </row>
    <row r="210" spans="1:31" ht="12.75" customHeight="1">
      <c r="A210" s="1" t="s">
        <v>214</v>
      </c>
      <c r="C210" s="1" t="s">
        <v>215</v>
      </c>
      <c r="D210" s="16"/>
      <c r="E210" s="16">
        <v>88329</v>
      </c>
      <c r="G210" s="16">
        <v>0</v>
      </c>
      <c r="I210" s="16">
        <v>102109</v>
      </c>
      <c r="K210" s="16">
        <v>0</v>
      </c>
      <c r="M210" s="16">
        <v>1690</v>
      </c>
      <c r="O210" s="16">
        <v>12203</v>
      </c>
      <c r="Q210" s="16">
        <v>43830</v>
      </c>
      <c r="S210" s="16">
        <v>0</v>
      </c>
      <c r="U210" s="16">
        <v>0</v>
      </c>
      <c r="W210" s="16">
        <v>0</v>
      </c>
      <c r="Y210" s="16">
        <v>436243</v>
      </c>
      <c r="AA210" s="16">
        <v>0</v>
      </c>
      <c r="AC210" s="16">
        <v>10548</v>
      </c>
      <c r="AE210" s="32">
        <f t="shared" si="3"/>
        <v>694952</v>
      </c>
    </row>
    <row r="211" spans="1:31" ht="12.75" customHeight="1">
      <c r="A211" s="1" t="s">
        <v>474</v>
      </c>
      <c r="C211" s="1" t="s">
        <v>246</v>
      </c>
      <c r="E211" s="16">
        <v>47002</v>
      </c>
      <c r="G211" s="16">
        <v>227544</v>
      </c>
      <c r="I211" s="16">
        <v>188190</v>
      </c>
      <c r="K211" s="16">
        <v>190523</v>
      </c>
      <c r="M211" s="16">
        <v>16552</v>
      </c>
      <c r="O211" s="16">
        <v>74304</v>
      </c>
      <c r="Q211" s="16">
        <v>68378</v>
      </c>
      <c r="S211" s="16">
        <v>6487</v>
      </c>
      <c r="U211" s="16">
        <v>0</v>
      </c>
      <c r="W211" s="16">
        <v>0</v>
      </c>
      <c r="Y211" s="16">
        <v>0</v>
      </c>
      <c r="AA211" s="16">
        <v>0</v>
      </c>
      <c r="AC211" s="16">
        <v>0</v>
      </c>
      <c r="AE211" s="32">
        <f t="shared" si="3"/>
        <v>818980</v>
      </c>
    </row>
    <row r="212" spans="1:31" ht="12.75" customHeight="1">
      <c r="A212" s="1" t="s">
        <v>216</v>
      </c>
      <c r="C212" s="1" t="s">
        <v>217</v>
      </c>
      <c r="D212" s="16"/>
      <c r="E212" s="16">
        <v>1133348</v>
      </c>
      <c r="G212" s="16">
        <v>0</v>
      </c>
      <c r="I212" s="16">
        <v>320635</v>
      </c>
      <c r="K212" s="16">
        <v>0</v>
      </c>
      <c r="M212" s="16">
        <v>372</v>
      </c>
      <c r="O212" s="16">
        <v>111103</v>
      </c>
      <c r="Q212" s="16">
        <v>38807</v>
      </c>
      <c r="S212" s="16">
        <v>12958</v>
      </c>
      <c r="U212" s="16">
        <v>0</v>
      </c>
      <c r="W212" s="16">
        <v>0</v>
      </c>
      <c r="Y212" s="16">
        <v>21934</v>
      </c>
      <c r="AA212" s="16">
        <v>14135</v>
      </c>
      <c r="AC212" s="16">
        <v>0</v>
      </c>
      <c r="AE212" s="32">
        <f t="shared" si="3"/>
        <v>1653292</v>
      </c>
    </row>
    <row r="213" spans="1:31" ht="12.75" customHeight="1">
      <c r="A213" s="1" t="s">
        <v>521</v>
      </c>
      <c r="C213" s="1" t="s">
        <v>78</v>
      </c>
      <c r="E213" s="16">
        <v>17564</v>
      </c>
      <c r="G213" s="16">
        <v>0</v>
      </c>
      <c r="I213" s="16">
        <v>73831</v>
      </c>
      <c r="K213" s="16">
        <v>0</v>
      </c>
      <c r="M213" s="16">
        <v>24100</v>
      </c>
      <c r="O213" s="16">
        <v>1355</v>
      </c>
      <c r="Q213" s="16">
        <v>1904</v>
      </c>
      <c r="S213" s="16">
        <v>410</v>
      </c>
      <c r="U213" s="16">
        <v>100000</v>
      </c>
      <c r="W213" s="16">
        <v>0</v>
      </c>
      <c r="Y213" s="16">
        <v>6303</v>
      </c>
      <c r="AA213" s="16">
        <v>0</v>
      </c>
      <c r="AC213" s="16">
        <v>0</v>
      </c>
      <c r="AE213" s="32">
        <f t="shared" si="3"/>
        <v>225467</v>
      </c>
    </row>
    <row r="214" spans="1:31" ht="12.75" customHeight="1">
      <c r="A214" s="1" t="s">
        <v>717</v>
      </c>
      <c r="C214" s="1" t="s">
        <v>142</v>
      </c>
      <c r="E214" s="16">
        <v>90045</v>
      </c>
      <c r="G214" s="16">
        <v>390592</v>
      </c>
      <c r="I214" s="16">
        <v>146814</v>
      </c>
      <c r="K214" s="16">
        <v>0</v>
      </c>
      <c r="M214" s="16">
        <v>3573</v>
      </c>
      <c r="O214" s="16">
        <v>2257</v>
      </c>
      <c r="Q214" s="16">
        <v>4606</v>
      </c>
      <c r="S214" s="16">
        <v>15198</v>
      </c>
      <c r="U214" s="16">
        <v>0</v>
      </c>
      <c r="W214" s="16">
        <v>262</v>
      </c>
      <c r="Y214" s="16">
        <v>0</v>
      </c>
      <c r="AA214" s="16">
        <v>0</v>
      </c>
      <c r="AC214" s="16">
        <v>0</v>
      </c>
      <c r="AE214" s="32">
        <f t="shared" si="3"/>
        <v>653347</v>
      </c>
    </row>
    <row r="215" spans="1:31" ht="12.75" customHeight="1">
      <c r="A215" s="1" t="s">
        <v>704</v>
      </c>
      <c r="C215" s="1" t="s">
        <v>110</v>
      </c>
      <c r="E215" s="16">
        <v>7184</v>
      </c>
      <c r="G215" s="16">
        <v>0</v>
      </c>
      <c r="I215" s="16">
        <v>37783</v>
      </c>
      <c r="K215" s="16">
        <v>798</v>
      </c>
      <c r="M215" s="16">
        <v>0</v>
      </c>
      <c r="O215" s="16">
        <v>110</v>
      </c>
      <c r="Q215" s="16">
        <v>3153</v>
      </c>
      <c r="S215" s="16">
        <v>350</v>
      </c>
      <c r="U215" s="16">
        <v>0</v>
      </c>
      <c r="W215" s="16">
        <v>4720</v>
      </c>
      <c r="Y215" s="16">
        <v>0</v>
      </c>
      <c r="AA215" s="16">
        <v>0</v>
      </c>
      <c r="AC215" s="16">
        <v>0</v>
      </c>
      <c r="AE215" s="32">
        <f t="shared" si="3"/>
        <v>54098</v>
      </c>
    </row>
    <row r="216" spans="1:31" ht="12.75" customHeight="1">
      <c r="A216" s="1" t="s">
        <v>705</v>
      </c>
      <c r="C216" s="1" t="s">
        <v>110</v>
      </c>
      <c r="E216" s="16">
        <v>48601</v>
      </c>
      <c r="G216" s="16">
        <v>287604</v>
      </c>
      <c r="I216" s="16">
        <v>55089</v>
      </c>
      <c r="K216" s="16">
        <v>0</v>
      </c>
      <c r="M216" s="16">
        <v>87713</v>
      </c>
      <c r="O216" s="16">
        <v>11125</v>
      </c>
      <c r="Q216" s="16">
        <v>3430</v>
      </c>
      <c r="S216" s="16">
        <v>19230</v>
      </c>
      <c r="U216" s="16">
        <v>0</v>
      </c>
      <c r="W216" s="16">
        <v>0</v>
      </c>
      <c r="Y216" s="16">
        <v>0</v>
      </c>
      <c r="AA216" s="16">
        <v>0</v>
      </c>
      <c r="AC216" s="16">
        <v>0</v>
      </c>
      <c r="AE216" s="32">
        <f t="shared" si="3"/>
        <v>512792</v>
      </c>
    </row>
    <row r="217" spans="1:31" ht="12.75" customHeight="1">
      <c r="A217" s="1" t="s">
        <v>218</v>
      </c>
      <c r="C217" s="1" t="s">
        <v>73</v>
      </c>
      <c r="D217" s="16"/>
      <c r="E217" s="16">
        <v>1270297</v>
      </c>
      <c r="G217" s="16">
        <v>0</v>
      </c>
      <c r="I217" s="16">
        <v>435390</v>
      </c>
      <c r="K217" s="16">
        <v>0</v>
      </c>
      <c r="M217" s="16">
        <v>2215</v>
      </c>
      <c r="O217" s="16">
        <v>64212</v>
      </c>
      <c r="Q217" s="16">
        <v>31914</v>
      </c>
      <c r="S217" s="16">
        <v>41514</v>
      </c>
      <c r="U217" s="16">
        <v>0</v>
      </c>
      <c r="W217" s="16">
        <v>4545</v>
      </c>
      <c r="Y217" s="16">
        <v>6354</v>
      </c>
      <c r="AA217" s="16">
        <v>0</v>
      </c>
      <c r="AC217" s="16">
        <v>0</v>
      </c>
      <c r="AE217" s="32">
        <f t="shared" si="3"/>
        <v>1856441</v>
      </c>
    </row>
    <row r="218" spans="1:31" ht="12.75" customHeight="1">
      <c r="A218" s="1" t="s">
        <v>219</v>
      </c>
      <c r="C218" s="1" t="s">
        <v>179</v>
      </c>
      <c r="D218" s="16"/>
      <c r="E218" s="16">
        <v>11640</v>
      </c>
      <c r="G218" s="16">
        <v>0</v>
      </c>
      <c r="I218" s="16">
        <v>306</v>
      </c>
      <c r="K218" s="16">
        <v>0</v>
      </c>
      <c r="M218" s="16">
        <v>0</v>
      </c>
      <c r="O218" s="16">
        <v>0</v>
      </c>
      <c r="Q218" s="16">
        <v>216</v>
      </c>
      <c r="S218" s="16">
        <v>0</v>
      </c>
      <c r="U218" s="16">
        <v>0</v>
      </c>
      <c r="W218" s="16">
        <v>0</v>
      </c>
      <c r="Y218" s="16">
        <v>0</v>
      </c>
      <c r="AA218" s="16">
        <v>0</v>
      </c>
      <c r="AC218" s="16">
        <v>0</v>
      </c>
      <c r="AE218" s="32">
        <f t="shared" si="3"/>
        <v>12162</v>
      </c>
    </row>
    <row r="219" spans="1:31" ht="12.75" customHeight="1">
      <c r="A219" s="1" t="s">
        <v>220</v>
      </c>
      <c r="C219" s="1" t="s">
        <v>221</v>
      </c>
      <c r="D219" s="16"/>
      <c r="E219" s="16">
        <v>2994</v>
      </c>
      <c r="G219" s="16">
        <v>0</v>
      </c>
      <c r="I219" s="16">
        <v>31707</v>
      </c>
      <c r="K219" s="16">
        <v>0</v>
      </c>
      <c r="M219" s="16">
        <v>3114</v>
      </c>
      <c r="O219" s="16">
        <v>2142</v>
      </c>
      <c r="Q219" s="16">
        <v>1930</v>
      </c>
      <c r="S219" s="16">
        <v>2725</v>
      </c>
      <c r="U219" s="16">
        <v>0</v>
      </c>
      <c r="W219" s="16">
        <v>0</v>
      </c>
      <c r="Y219" s="16">
        <v>0</v>
      </c>
      <c r="AA219" s="16">
        <v>0</v>
      </c>
      <c r="AC219" s="16">
        <v>0</v>
      </c>
      <c r="AE219" s="32">
        <f t="shared" si="3"/>
        <v>44612</v>
      </c>
    </row>
    <row r="220" spans="1:31" ht="12.75" customHeight="1">
      <c r="A220" s="1" t="s">
        <v>516</v>
      </c>
      <c r="C220" s="1" t="s">
        <v>112</v>
      </c>
      <c r="E220" s="16">
        <v>98733</v>
      </c>
      <c r="G220" s="16">
        <v>922089</v>
      </c>
      <c r="I220" s="16">
        <v>127490</v>
      </c>
      <c r="K220" s="16">
        <v>0</v>
      </c>
      <c r="M220" s="16">
        <v>100</v>
      </c>
      <c r="O220" s="16">
        <v>294085</v>
      </c>
      <c r="Q220" s="16">
        <v>29936</v>
      </c>
      <c r="S220" s="16">
        <v>10760</v>
      </c>
      <c r="U220" s="16">
        <v>1400000</v>
      </c>
      <c r="W220" s="16">
        <v>0</v>
      </c>
      <c r="Y220" s="16">
        <v>0</v>
      </c>
      <c r="AA220" s="16">
        <v>0</v>
      </c>
      <c r="AC220" s="16">
        <v>0</v>
      </c>
      <c r="AE220" s="32">
        <f t="shared" si="3"/>
        <v>2883193</v>
      </c>
    </row>
    <row r="221" spans="1:31" ht="12.75" customHeight="1">
      <c r="A221" s="1" t="s">
        <v>642</v>
      </c>
      <c r="C221" s="1" t="s">
        <v>274</v>
      </c>
      <c r="E221" s="16">
        <v>45455</v>
      </c>
      <c r="G221" s="16">
        <v>0</v>
      </c>
      <c r="I221" s="16">
        <v>22409</v>
      </c>
      <c r="K221" s="16">
        <v>0</v>
      </c>
      <c r="M221" s="16">
        <v>723</v>
      </c>
      <c r="O221" s="16">
        <v>1571</v>
      </c>
      <c r="Q221" s="16">
        <v>451</v>
      </c>
      <c r="S221" s="16">
        <v>0</v>
      </c>
      <c r="U221" s="16">
        <v>0</v>
      </c>
      <c r="W221" s="16">
        <v>0</v>
      </c>
      <c r="Y221" s="16">
        <v>0</v>
      </c>
      <c r="AA221" s="16">
        <v>0</v>
      </c>
      <c r="AC221" s="16">
        <v>0</v>
      </c>
      <c r="AE221" s="32">
        <f t="shared" si="3"/>
        <v>70609</v>
      </c>
    </row>
    <row r="222" spans="1:31" ht="12.75" customHeight="1">
      <c r="A222" s="1" t="s">
        <v>459</v>
      </c>
      <c r="C222" s="1" t="s">
        <v>71</v>
      </c>
      <c r="E222" s="16">
        <v>56055</v>
      </c>
      <c r="G222" s="16">
        <v>0</v>
      </c>
      <c r="I222" s="16">
        <v>92560</v>
      </c>
      <c r="K222" s="16">
        <v>0</v>
      </c>
      <c r="M222" s="16">
        <v>68210</v>
      </c>
      <c r="O222" s="16">
        <v>25117</v>
      </c>
      <c r="Q222" s="16">
        <v>3028</v>
      </c>
      <c r="S222" s="16">
        <v>28286</v>
      </c>
      <c r="U222" s="16">
        <v>0</v>
      </c>
      <c r="W222" s="16">
        <v>0</v>
      </c>
      <c r="Y222" s="16">
        <v>0</v>
      </c>
      <c r="AA222" s="16">
        <v>0</v>
      </c>
      <c r="AC222" s="16">
        <v>0</v>
      </c>
      <c r="AE222" s="32">
        <f t="shared" si="3"/>
        <v>273256</v>
      </c>
    </row>
    <row r="223" spans="1:31" ht="12.75" customHeight="1">
      <c r="A223" s="1" t="s">
        <v>222</v>
      </c>
      <c r="C223" s="1" t="s">
        <v>96</v>
      </c>
      <c r="D223" s="16"/>
      <c r="E223" s="16">
        <v>80243</v>
      </c>
      <c r="G223" s="16">
        <v>0</v>
      </c>
      <c r="I223" s="16">
        <v>139644</v>
      </c>
      <c r="K223" s="16">
        <v>154</v>
      </c>
      <c r="M223" s="16">
        <v>35068</v>
      </c>
      <c r="O223" s="16">
        <v>2446</v>
      </c>
      <c r="Q223" s="16">
        <v>2850</v>
      </c>
      <c r="S223" s="16">
        <v>19607</v>
      </c>
      <c r="U223" s="16">
        <v>0</v>
      </c>
      <c r="W223" s="16">
        <v>0</v>
      </c>
      <c r="Y223" s="16">
        <v>125065</v>
      </c>
      <c r="AA223" s="16">
        <v>0</v>
      </c>
      <c r="AC223" s="16">
        <v>152</v>
      </c>
      <c r="AE223" s="32">
        <f t="shared" si="3"/>
        <v>405229</v>
      </c>
    </row>
    <row r="224" spans="1:31" ht="12.75" customHeight="1">
      <c r="A224" s="1" t="s">
        <v>223</v>
      </c>
      <c r="C224" s="1" t="s">
        <v>73</v>
      </c>
      <c r="D224" s="16"/>
      <c r="E224" s="16">
        <v>786515</v>
      </c>
      <c r="G224" s="16">
        <v>0</v>
      </c>
      <c r="I224" s="16">
        <v>161033</v>
      </c>
      <c r="K224" s="16">
        <v>0</v>
      </c>
      <c r="M224" s="16">
        <v>431115</v>
      </c>
      <c r="O224" s="16">
        <v>51521</v>
      </c>
      <c r="Q224" s="16">
        <v>1239</v>
      </c>
      <c r="S224" s="16">
        <v>32680</v>
      </c>
      <c r="U224" s="16">
        <v>0</v>
      </c>
      <c r="W224" s="16">
        <v>700</v>
      </c>
      <c r="Y224" s="16">
        <v>560000</v>
      </c>
      <c r="AA224" s="16">
        <v>0</v>
      </c>
      <c r="AC224" s="16">
        <v>0</v>
      </c>
      <c r="AE224" s="32">
        <f t="shared" si="3"/>
        <v>2024803</v>
      </c>
    </row>
    <row r="225" spans="1:31" ht="12.75" customHeight="1">
      <c r="A225" s="1" t="s">
        <v>226</v>
      </c>
      <c r="C225" s="1" t="s">
        <v>78</v>
      </c>
      <c r="D225" s="16"/>
      <c r="E225" s="16">
        <v>17914</v>
      </c>
      <c r="G225" s="16">
        <v>0</v>
      </c>
      <c r="I225" s="16">
        <v>6926</v>
      </c>
      <c r="K225" s="16">
        <v>0</v>
      </c>
      <c r="M225" s="16">
        <v>0</v>
      </c>
      <c r="O225" s="16">
        <v>0</v>
      </c>
      <c r="Q225" s="16">
        <v>0</v>
      </c>
      <c r="S225" s="16">
        <v>409</v>
      </c>
      <c r="U225" s="16">
        <v>0</v>
      </c>
      <c r="W225" s="16">
        <v>0</v>
      </c>
      <c r="Y225" s="16">
        <v>0</v>
      </c>
      <c r="AA225" s="16">
        <v>0</v>
      </c>
      <c r="AC225" s="16">
        <v>0</v>
      </c>
      <c r="AE225" s="32">
        <f t="shared" si="3"/>
        <v>25249</v>
      </c>
    </row>
    <row r="226" spans="1:31" ht="12.75" customHeight="1">
      <c r="A226" s="1" t="s">
        <v>227</v>
      </c>
      <c r="C226" s="1" t="s">
        <v>228</v>
      </c>
      <c r="D226" s="16"/>
      <c r="E226" s="16">
        <v>228979</v>
      </c>
      <c r="G226" s="16">
        <v>854115</v>
      </c>
      <c r="I226" s="16">
        <v>157693</v>
      </c>
      <c r="K226" s="16">
        <v>0</v>
      </c>
      <c r="M226" s="16">
        <v>107279</v>
      </c>
      <c r="O226" s="16">
        <v>36686</v>
      </c>
      <c r="Q226" s="16">
        <v>56029</v>
      </c>
      <c r="S226" s="16">
        <v>121590</v>
      </c>
      <c r="U226" s="16">
        <v>0</v>
      </c>
      <c r="W226" s="16">
        <v>0</v>
      </c>
      <c r="Y226" s="16">
        <v>123063</v>
      </c>
      <c r="AA226" s="16">
        <v>949</v>
      </c>
      <c r="AC226" s="16">
        <v>3327</v>
      </c>
      <c r="AE226" s="32">
        <f t="shared" si="3"/>
        <v>1689710</v>
      </c>
    </row>
    <row r="227" spans="1:31" ht="12.75" customHeight="1">
      <c r="A227" s="1" t="s">
        <v>770</v>
      </c>
      <c r="C227" s="1" t="s">
        <v>94</v>
      </c>
      <c r="E227" s="16">
        <v>36921</v>
      </c>
      <c r="G227" s="16">
        <v>0</v>
      </c>
      <c r="I227" s="16">
        <v>67560</v>
      </c>
      <c r="K227" s="16">
        <v>10082</v>
      </c>
      <c r="M227" s="16">
        <v>0</v>
      </c>
      <c r="O227" s="16">
        <v>8633</v>
      </c>
      <c r="Q227" s="16">
        <v>2497</v>
      </c>
      <c r="S227" s="16">
        <v>20749</v>
      </c>
      <c r="U227" s="16">
        <v>0</v>
      </c>
      <c r="W227" s="16">
        <v>0</v>
      </c>
      <c r="Y227" s="16">
        <v>134236</v>
      </c>
      <c r="AA227" s="16">
        <v>0</v>
      </c>
      <c r="AC227" s="16">
        <v>0</v>
      </c>
      <c r="AE227" s="32">
        <f t="shared" si="3"/>
        <v>280678</v>
      </c>
    </row>
    <row r="228" spans="1:31" ht="12.75" customHeight="1">
      <c r="A228" s="1" t="s">
        <v>229</v>
      </c>
      <c r="C228" s="1" t="s">
        <v>197</v>
      </c>
      <c r="D228" s="16"/>
      <c r="E228" s="16">
        <v>78700</v>
      </c>
      <c r="G228" s="16">
        <v>347043</v>
      </c>
      <c r="I228" s="16">
        <f>134612</f>
        <v>134612</v>
      </c>
      <c r="K228" s="16">
        <v>0</v>
      </c>
      <c r="M228" s="16">
        <v>115</v>
      </c>
      <c r="O228" s="16">
        <v>26338</v>
      </c>
      <c r="Q228" s="16">
        <v>1809</v>
      </c>
      <c r="S228" s="16">
        <v>15482</v>
      </c>
      <c r="U228" s="16">
        <v>0</v>
      </c>
      <c r="W228" s="16">
        <v>0</v>
      </c>
      <c r="Y228" s="16">
        <v>0</v>
      </c>
      <c r="AA228" s="16">
        <v>0</v>
      </c>
      <c r="AC228" s="16">
        <v>0</v>
      </c>
      <c r="AE228" s="32">
        <f t="shared" si="3"/>
        <v>604099</v>
      </c>
    </row>
    <row r="229" spans="1:31" ht="12.75" customHeight="1">
      <c r="A229" s="1" t="s">
        <v>230</v>
      </c>
      <c r="C229" s="1" t="s">
        <v>231</v>
      </c>
      <c r="D229" s="16"/>
      <c r="E229" s="16">
        <v>2626766</v>
      </c>
      <c r="G229" s="16">
        <v>0</v>
      </c>
      <c r="I229" s="16">
        <v>259389</v>
      </c>
      <c r="K229" s="16">
        <v>0</v>
      </c>
      <c r="M229" s="16">
        <v>0</v>
      </c>
      <c r="O229" s="16">
        <v>138070</v>
      </c>
      <c r="Q229" s="16">
        <v>34390</v>
      </c>
      <c r="S229" s="16">
        <v>43237</v>
      </c>
      <c r="U229" s="16">
        <v>4000</v>
      </c>
      <c r="W229" s="16">
        <v>0</v>
      </c>
      <c r="Y229" s="16">
        <v>25000</v>
      </c>
      <c r="AA229" s="16">
        <v>0</v>
      </c>
      <c r="AC229" s="16">
        <v>0</v>
      </c>
      <c r="AE229" s="32">
        <f t="shared" si="3"/>
        <v>3130852</v>
      </c>
    </row>
    <row r="230" spans="1:31" ht="12.75" customHeight="1">
      <c r="A230" s="1" t="s">
        <v>232</v>
      </c>
      <c r="C230" s="1" t="s">
        <v>231</v>
      </c>
      <c r="D230" s="16"/>
      <c r="E230" s="16">
        <v>2592</v>
      </c>
      <c r="G230" s="16">
        <v>0</v>
      </c>
      <c r="I230" s="16">
        <v>23262</v>
      </c>
      <c r="K230" s="16">
        <v>0</v>
      </c>
      <c r="M230" s="16">
        <v>0</v>
      </c>
      <c r="O230" s="16">
        <v>0</v>
      </c>
      <c r="Q230" s="16">
        <v>138</v>
      </c>
      <c r="S230" s="16">
        <v>150</v>
      </c>
      <c r="U230" s="16">
        <v>0</v>
      </c>
      <c r="W230" s="16">
        <v>0</v>
      </c>
      <c r="Y230" s="16">
        <v>0</v>
      </c>
      <c r="AA230" s="16">
        <v>0</v>
      </c>
      <c r="AC230" s="16">
        <v>0</v>
      </c>
      <c r="AE230" s="32">
        <f t="shared" si="3"/>
        <v>26142</v>
      </c>
    </row>
    <row r="231" spans="1:31" ht="12.75" customHeight="1">
      <c r="A231" s="1" t="s">
        <v>698</v>
      </c>
      <c r="C231" s="1" t="s">
        <v>225</v>
      </c>
      <c r="E231" s="16">
        <v>23488</v>
      </c>
      <c r="G231" s="16">
        <v>0</v>
      </c>
      <c r="I231" s="16">
        <v>39206</v>
      </c>
      <c r="K231" s="16">
        <v>0</v>
      </c>
      <c r="M231" s="16">
        <v>0</v>
      </c>
      <c r="O231" s="16">
        <v>3879</v>
      </c>
      <c r="Q231" s="16">
        <v>1211</v>
      </c>
      <c r="S231" s="16">
        <v>8575</v>
      </c>
      <c r="U231" s="16">
        <v>0</v>
      </c>
      <c r="W231" s="16">
        <v>0</v>
      </c>
      <c r="Y231" s="16">
        <v>0</v>
      </c>
      <c r="AA231" s="16">
        <v>0</v>
      </c>
      <c r="AC231" s="16">
        <v>10000</v>
      </c>
      <c r="AE231" s="32">
        <f t="shared" si="3"/>
        <v>86359</v>
      </c>
    </row>
    <row r="232" spans="1:31" ht="12.75" customHeight="1">
      <c r="A232" s="1" t="s">
        <v>233</v>
      </c>
      <c r="C232" s="1" t="s">
        <v>80</v>
      </c>
      <c r="D232" s="16"/>
      <c r="E232" s="16">
        <v>2146</v>
      </c>
      <c r="G232" s="16">
        <v>0</v>
      </c>
      <c r="I232" s="16">
        <v>5063</v>
      </c>
      <c r="K232" s="16">
        <v>0</v>
      </c>
      <c r="M232" s="16">
        <v>0</v>
      </c>
      <c r="O232" s="16">
        <v>0</v>
      </c>
      <c r="Q232" s="16">
        <v>5</v>
      </c>
      <c r="S232" s="16">
        <v>20</v>
      </c>
      <c r="U232" s="16">
        <v>0</v>
      </c>
      <c r="W232" s="16">
        <v>0</v>
      </c>
      <c r="Y232" s="16">
        <v>0</v>
      </c>
      <c r="AA232" s="16">
        <v>0</v>
      </c>
      <c r="AC232" s="16">
        <v>0</v>
      </c>
      <c r="AE232" s="32">
        <f t="shared" si="3"/>
        <v>7234</v>
      </c>
    </row>
    <row r="233" spans="1:31" ht="12.75" customHeight="1">
      <c r="A233" s="1" t="s">
        <v>636</v>
      </c>
      <c r="C233" s="1" t="s">
        <v>268</v>
      </c>
      <c r="E233" s="16">
        <v>28759</v>
      </c>
      <c r="G233" s="16">
        <v>0</v>
      </c>
      <c r="I233" s="16">
        <v>18697</v>
      </c>
      <c r="K233" s="16">
        <v>0</v>
      </c>
      <c r="M233" s="16">
        <v>0</v>
      </c>
      <c r="O233" s="16">
        <v>825</v>
      </c>
      <c r="Q233" s="16">
        <v>473</v>
      </c>
      <c r="S233" s="16">
        <v>2388</v>
      </c>
      <c r="U233" s="16">
        <v>0</v>
      </c>
      <c r="W233" s="16">
        <v>0</v>
      </c>
      <c r="Y233" s="16">
        <v>0</v>
      </c>
      <c r="AA233" s="16">
        <v>0</v>
      </c>
      <c r="AC233" s="16">
        <v>0</v>
      </c>
      <c r="AE233" s="32">
        <f t="shared" si="3"/>
        <v>51142</v>
      </c>
    </row>
    <row r="234" spans="1:31" ht="12.75" customHeight="1">
      <c r="A234" s="1" t="s">
        <v>723</v>
      </c>
      <c r="C234" s="1" t="s">
        <v>118</v>
      </c>
      <c r="E234" s="16">
        <v>47004</v>
      </c>
      <c r="G234" s="16">
        <v>231173</v>
      </c>
      <c r="I234" s="16">
        <v>92857</v>
      </c>
      <c r="K234" s="16">
        <v>0</v>
      </c>
      <c r="M234" s="16">
        <v>3565</v>
      </c>
      <c r="O234" s="16">
        <v>986</v>
      </c>
      <c r="Q234" s="16">
        <v>2705</v>
      </c>
      <c r="S234" s="16">
        <v>5200</v>
      </c>
      <c r="U234" s="16">
        <v>0</v>
      </c>
      <c r="W234" s="16">
        <v>0</v>
      </c>
      <c r="Y234" s="16">
        <v>0</v>
      </c>
      <c r="AA234" s="16">
        <v>0</v>
      </c>
      <c r="AC234" s="16">
        <v>0</v>
      </c>
      <c r="AE234" s="32">
        <f t="shared" si="3"/>
        <v>383490</v>
      </c>
    </row>
    <row r="235" spans="1:31" ht="12.75" customHeight="1">
      <c r="A235" s="1" t="s">
        <v>567</v>
      </c>
      <c r="C235" s="1" t="s">
        <v>73</v>
      </c>
      <c r="E235" s="16">
        <v>382139</v>
      </c>
      <c r="G235" s="16">
        <v>697922</v>
      </c>
      <c r="I235" s="16">
        <v>279065</v>
      </c>
      <c r="K235" s="16">
        <v>0</v>
      </c>
      <c r="M235" s="16">
        <v>80823</v>
      </c>
      <c r="O235" s="16">
        <v>99176</v>
      </c>
      <c r="Q235" s="16">
        <v>11835</v>
      </c>
      <c r="S235" s="16">
        <v>183371</v>
      </c>
      <c r="U235" s="16">
        <v>0</v>
      </c>
      <c r="W235" s="16">
        <v>0</v>
      </c>
      <c r="Y235" s="16">
        <v>0</v>
      </c>
      <c r="AA235" s="16">
        <v>0</v>
      </c>
      <c r="AC235" s="16">
        <v>0</v>
      </c>
      <c r="AE235" s="32">
        <f t="shared" si="3"/>
        <v>1734331</v>
      </c>
    </row>
    <row r="236" spans="1:31" ht="12.75" customHeight="1">
      <c r="A236" s="1" t="s">
        <v>593</v>
      </c>
      <c r="C236" s="1" t="s">
        <v>303</v>
      </c>
      <c r="E236" s="16">
        <v>74470</v>
      </c>
      <c r="G236" s="16">
        <v>0</v>
      </c>
      <c r="I236" s="16">
        <v>132618</v>
      </c>
      <c r="K236" s="16">
        <v>0</v>
      </c>
      <c r="M236" s="16">
        <v>0</v>
      </c>
      <c r="O236" s="16">
        <v>25888</v>
      </c>
      <c r="Q236" s="16">
        <v>27402</v>
      </c>
      <c r="S236" s="16">
        <v>84456</v>
      </c>
      <c r="U236" s="16">
        <v>0</v>
      </c>
      <c r="W236" s="16">
        <v>0</v>
      </c>
      <c r="Y236" s="16">
        <v>123744</v>
      </c>
      <c r="AA236" s="16">
        <v>0</v>
      </c>
      <c r="AC236" s="16">
        <v>0</v>
      </c>
      <c r="AE236" s="32">
        <f t="shared" si="3"/>
        <v>468578</v>
      </c>
    </row>
    <row r="237" spans="1:31" ht="12.75" customHeight="1">
      <c r="A237" s="1" t="s">
        <v>234</v>
      </c>
      <c r="C237" s="1" t="s">
        <v>149</v>
      </c>
      <c r="D237" s="16"/>
      <c r="E237" s="16">
        <v>226597</v>
      </c>
      <c r="G237" s="16">
        <v>3239555</v>
      </c>
      <c r="I237" s="16">
        <v>279691</v>
      </c>
      <c r="K237" s="16">
        <v>0</v>
      </c>
      <c r="M237" s="16">
        <v>947089</v>
      </c>
      <c r="O237" s="16">
        <f>343757+47117</f>
        <v>390874</v>
      </c>
      <c r="Q237" s="16">
        <v>83373</v>
      </c>
      <c r="S237" s="16">
        <f>7531+144485</f>
        <v>152016</v>
      </c>
      <c r="U237" s="16">
        <v>0</v>
      </c>
      <c r="W237" s="16">
        <v>176439</v>
      </c>
      <c r="Y237" s="16">
        <v>0</v>
      </c>
      <c r="AA237" s="16">
        <v>0</v>
      </c>
      <c r="AC237" s="16">
        <v>0</v>
      </c>
      <c r="AE237" s="32">
        <f t="shared" si="3"/>
        <v>5495634</v>
      </c>
    </row>
    <row r="238" spans="1:31" ht="12.75" customHeight="1">
      <c r="A238" s="1" t="s">
        <v>235</v>
      </c>
      <c r="C238" s="1" t="s">
        <v>236</v>
      </c>
      <c r="D238" s="1"/>
      <c r="E238" s="16">
        <v>9381</v>
      </c>
      <c r="G238" s="16">
        <v>0</v>
      </c>
      <c r="I238" s="16">
        <v>37579</v>
      </c>
      <c r="K238" s="16">
        <v>0</v>
      </c>
      <c r="M238" s="16">
        <v>5650</v>
      </c>
      <c r="O238" s="16">
        <v>200</v>
      </c>
      <c r="Q238" s="16">
        <v>120</v>
      </c>
      <c r="S238" s="16">
        <v>323</v>
      </c>
      <c r="U238" s="16">
        <v>0</v>
      </c>
      <c r="W238" s="16">
        <v>0</v>
      </c>
      <c r="Y238" s="16">
        <v>0</v>
      </c>
      <c r="AA238" s="16">
        <v>0</v>
      </c>
      <c r="AC238" s="16">
        <v>1019</v>
      </c>
      <c r="AE238" s="32">
        <f t="shared" si="3"/>
        <v>54272</v>
      </c>
    </row>
    <row r="239" spans="1:31" ht="12.75" customHeight="1">
      <c r="A239" s="1" t="s">
        <v>475</v>
      </c>
      <c r="C239" s="1" t="s">
        <v>246</v>
      </c>
      <c r="E239" s="16">
        <v>8268</v>
      </c>
      <c r="G239" s="16">
        <v>0</v>
      </c>
      <c r="I239" s="16">
        <v>10854</v>
      </c>
      <c r="K239" s="16">
        <v>0</v>
      </c>
      <c r="M239" s="16">
        <v>0</v>
      </c>
      <c r="O239" s="16">
        <v>36124</v>
      </c>
      <c r="Q239" s="16">
        <v>2056</v>
      </c>
      <c r="S239" s="16">
        <v>737</v>
      </c>
      <c r="U239" s="16">
        <v>0</v>
      </c>
      <c r="W239" s="16">
        <v>0</v>
      </c>
      <c r="Y239" s="16">
        <v>0</v>
      </c>
      <c r="AA239" s="16">
        <v>0</v>
      </c>
      <c r="AC239" s="16">
        <v>0</v>
      </c>
      <c r="AE239" s="32">
        <f t="shared" si="3"/>
        <v>58039</v>
      </c>
    </row>
    <row r="240" spans="1:31" ht="12.75" customHeight="1">
      <c r="A240" s="1" t="s">
        <v>609</v>
      </c>
      <c r="C240" s="1" t="s">
        <v>164</v>
      </c>
      <c r="E240" s="16">
        <v>3308</v>
      </c>
      <c r="G240" s="16">
        <v>0</v>
      </c>
      <c r="I240" s="16">
        <v>18782</v>
      </c>
      <c r="K240" s="16">
        <v>0</v>
      </c>
      <c r="M240" s="16">
        <v>0</v>
      </c>
      <c r="O240" s="16">
        <v>216381</v>
      </c>
      <c r="Q240" s="16">
        <v>172</v>
      </c>
      <c r="S240" s="16">
        <v>2364</v>
      </c>
      <c r="U240" s="16">
        <v>18375</v>
      </c>
      <c r="W240" s="16">
        <v>200</v>
      </c>
      <c r="Y240" s="16">
        <v>0</v>
      </c>
      <c r="AA240" s="16">
        <v>0</v>
      </c>
      <c r="AC240" s="16">
        <v>0</v>
      </c>
      <c r="AE240" s="32">
        <f t="shared" si="3"/>
        <v>259582</v>
      </c>
    </row>
    <row r="241" spans="1:31" ht="12.75" customHeight="1">
      <c r="A241" s="1" t="s">
        <v>238</v>
      </c>
      <c r="C241" s="1" t="s">
        <v>239</v>
      </c>
      <c r="D241" s="16"/>
      <c r="E241" s="16">
        <v>24044</v>
      </c>
      <c r="G241" s="16">
        <v>94157</v>
      </c>
      <c r="I241" s="16">
        <v>26767</v>
      </c>
      <c r="K241" s="16">
        <v>0</v>
      </c>
      <c r="M241" s="16">
        <v>750</v>
      </c>
      <c r="O241" s="16">
        <v>478</v>
      </c>
      <c r="Q241" s="16">
        <v>3657</v>
      </c>
      <c r="S241" s="16">
        <v>14893</v>
      </c>
      <c r="U241" s="16">
        <v>0</v>
      </c>
      <c r="W241" s="16">
        <v>0</v>
      </c>
      <c r="Y241" s="16">
        <v>0</v>
      </c>
      <c r="AA241" s="16">
        <v>0</v>
      </c>
      <c r="AC241" s="16">
        <v>0</v>
      </c>
      <c r="AE241" s="32">
        <f t="shared" si="3"/>
        <v>164746</v>
      </c>
    </row>
    <row r="242" spans="1:31" ht="12.75" customHeight="1">
      <c r="A242" s="1" t="s">
        <v>237</v>
      </c>
      <c r="C242" s="1" t="s">
        <v>231</v>
      </c>
      <c r="D242" s="16"/>
      <c r="E242" s="16">
        <v>32356</v>
      </c>
      <c r="G242" s="16">
        <v>0</v>
      </c>
      <c r="I242" s="16">
        <v>40050</v>
      </c>
      <c r="K242" s="16">
        <v>0</v>
      </c>
      <c r="M242" s="16">
        <v>0</v>
      </c>
      <c r="O242" s="16">
        <v>8696</v>
      </c>
      <c r="Q242" s="16">
        <v>70</v>
      </c>
      <c r="S242" s="16">
        <v>5809</v>
      </c>
      <c r="U242" s="16">
        <v>0</v>
      </c>
      <c r="W242" s="16">
        <v>0</v>
      </c>
      <c r="Y242" s="16">
        <v>0</v>
      </c>
      <c r="AA242" s="16">
        <v>0</v>
      </c>
      <c r="AC242" s="16">
        <v>0</v>
      </c>
      <c r="AE242" s="32">
        <f t="shared" si="3"/>
        <v>86981</v>
      </c>
    </row>
    <row r="243" spans="1:31" ht="12.75" customHeight="1">
      <c r="A243" s="1" t="s">
        <v>504</v>
      </c>
      <c r="C243" s="1" t="s">
        <v>414</v>
      </c>
      <c r="E243" s="16">
        <v>13349</v>
      </c>
      <c r="G243" s="16">
        <v>0</v>
      </c>
      <c r="I243" s="16">
        <v>24807</v>
      </c>
      <c r="K243" s="16">
        <v>0</v>
      </c>
      <c r="M243" s="16">
        <v>0</v>
      </c>
      <c r="O243" s="16">
        <v>8211</v>
      </c>
      <c r="Q243" s="16">
        <v>345</v>
      </c>
      <c r="S243" s="16">
        <v>5083</v>
      </c>
      <c r="U243" s="16">
        <v>0</v>
      </c>
      <c r="W243" s="16">
        <v>0</v>
      </c>
      <c r="Y243" s="16">
        <v>0</v>
      </c>
      <c r="AA243" s="16">
        <v>7461</v>
      </c>
      <c r="AC243" s="16">
        <v>0</v>
      </c>
      <c r="AE243" s="32">
        <f t="shared" si="3"/>
        <v>59256</v>
      </c>
    </row>
    <row r="244" spans="1:31" ht="12.75" customHeight="1">
      <c r="A244" s="1" t="s">
        <v>627</v>
      </c>
      <c r="C244" s="1" t="s">
        <v>250</v>
      </c>
      <c r="E244" s="16">
        <v>4345</v>
      </c>
      <c r="G244" s="16">
        <v>0</v>
      </c>
      <c r="I244" s="16">
        <v>6751</v>
      </c>
      <c r="K244" s="16">
        <v>0</v>
      </c>
      <c r="M244" s="16">
        <v>0</v>
      </c>
      <c r="O244" s="16">
        <v>1102</v>
      </c>
      <c r="Q244" s="16">
        <v>0</v>
      </c>
      <c r="S244" s="16">
        <v>15350</v>
      </c>
      <c r="U244" s="16">
        <v>0</v>
      </c>
      <c r="W244" s="16">
        <v>0</v>
      </c>
      <c r="Y244" s="16">
        <v>0</v>
      </c>
      <c r="AA244" s="16">
        <v>0</v>
      </c>
      <c r="AC244" s="16">
        <v>0</v>
      </c>
      <c r="AE244" s="32">
        <f t="shared" si="3"/>
        <v>27548</v>
      </c>
    </row>
    <row r="245" spans="1:31" ht="12.75" customHeight="1">
      <c r="A245" s="1" t="s">
        <v>779</v>
      </c>
      <c r="C245" s="1" t="s">
        <v>151</v>
      </c>
      <c r="E245" s="16">
        <v>15527</v>
      </c>
      <c r="G245" s="16">
        <v>0</v>
      </c>
      <c r="I245" s="16">
        <v>6743</v>
      </c>
      <c r="K245" s="16">
        <v>0</v>
      </c>
      <c r="M245" s="16">
        <v>0</v>
      </c>
      <c r="O245" s="16">
        <v>0</v>
      </c>
      <c r="Q245" s="16">
        <v>1401</v>
      </c>
      <c r="S245" s="16">
        <v>776</v>
      </c>
      <c r="U245" s="16">
        <v>0</v>
      </c>
      <c r="W245" s="16">
        <v>0</v>
      </c>
      <c r="Y245" s="16">
        <v>0</v>
      </c>
      <c r="AA245" s="16">
        <v>0</v>
      </c>
      <c r="AC245" s="16">
        <v>0</v>
      </c>
      <c r="AE245" s="32">
        <f t="shared" si="3"/>
        <v>24447</v>
      </c>
    </row>
    <row r="246" spans="1:31" ht="12.75" customHeight="1">
      <c r="A246" s="1" t="s">
        <v>542</v>
      </c>
      <c r="C246" s="1" t="s">
        <v>149</v>
      </c>
      <c r="E246" s="16">
        <v>3522</v>
      </c>
      <c r="G246" s="16">
        <v>0</v>
      </c>
      <c r="I246" s="16">
        <v>76625</v>
      </c>
      <c r="K246" s="16">
        <v>126103</v>
      </c>
      <c r="M246" s="16">
        <v>0</v>
      </c>
      <c r="O246" s="16">
        <v>6480</v>
      </c>
      <c r="Q246" s="16">
        <v>399</v>
      </c>
      <c r="S246" s="16">
        <v>3382</v>
      </c>
      <c r="U246" s="16">
        <v>0</v>
      </c>
      <c r="W246" s="16">
        <v>0</v>
      </c>
      <c r="Y246" s="16">
        <v>0</v>
      </c>
      <c r="AA246" s="16">
        <v>0</v>
      </c>
      <c r="AC246" s="16">
        <v>0</v>
      </c>
      <c r="AE246" s="32">
        <f t="shared" si="3"/>
        <v>216511</v>
      </c>
    </row>
    <row r="247" spans="1:31" ht="12.75" customHeight="1">
      <c r="A247" s="1" t="s">
        <v>579</v>
      </c>
      <c r="C247" s="1" t="s">
        <v>133</v>
      </c>
      <c r="E247" s="16">
        <v>9282</v>
      </c>
      <c r="G247" s="16">
        <v>0</v>
      </c>
      <c r="I247" s="16">
        <v>21824</v>
      </c>
      <c r="K247" s="16">
        <v>0</v>
      </c>
      <c r="M247" s="16">
        <v>752</v>
      </c>
      <c r="O247" s="16">
        <v>0</v>
      </c>
      <c r="Q247" s="16">
        <v>141</v>
      </c>
      <c r="S247" s="16">
        <v>185</v>
      </c>
      <c r="U247" s="16">
        <v>0</v>
      </c>
      <c r="W247" s="16">
        <v>0</v>
      </c>
      <c r="Y247" s="16">
        <v>0</v>
      </c>
      <c r="AA247" s="16">
        <v>0</v>
      </c>
      <c r="AC247" s="16">
        <v>0</v>
      </c>
      <c r="AE247" s="32">
        <f t="shared" si="3"/>
        <v>32184</v>
      </c>
    </row>
    <row r="248" spans="1:31" ht="12.75" customHeight="1">
      <c r="A248" s="1" t="s">
        <v>449</v>
      </c>
      <c r="C248" s="1" t="s">
        <v>447</v>
      </c>
      <c r="E248" s="16">
        <v>30887</v>
      </c>
      <c r="G248" s="16">
        <v>0</v>
      </c>
      <c r="I248" s="16">
        <v>19513</v>
      </c>
      <c r="K248" s="16">
        <v>0</v>
      </c>
      <c r="M248" s="16">
        <v>0</v>
      </c>
      <c r="O248" s="16">
        <v>170</v>
      </c>
      <c r="Q248" s="16">
        <v>2484</v>
      </c>
      <c r="S248" s="16">
        <v>16885</v>
      </c>
      <c r="U248" s="16">
        <v>0</v>
      </c>
      <c r="W248" s="16">
        <v>0</v>
      </c>
      <c r="Y248" s="16">
        <v>0</v>
      </c>
      <c r="AA248" s="16">
        <v>0</v>
      </c>
      <c r="AC248" s="16">
        <v>0</v>
      </c>
      <c r="AE248" s="32">
        <f t="shared" si="3"/>
        <v>69939</v>
      </c>
    </row>
    <row r="249" spans="1:31" ht="12.75" customHeight="1">
      <c r="A249" s="1" t="s">
        <v>240</v>
      </c>
      <c r="C249" s="1" t="s">
        <v>231</v>
      </c>
      <c r="D249" s="16"/>
      <c r="E249" s="16">
        <v>12011</v>
      </c>
      <c r="G249" s="16">
        <v>0</v>
      </c>
      <c r="I249" s="16">
        <v>33219</v>
      </c>
      <c r="K249" s="16">
        <v>3322</v>
      </c>
      <c r="M249" s="16">
        <v>0</v>
      </c>
      <c r="O249" s="16">
        <v>4551</v>
      </c>
      <c r="Q249" s="16">
        <v>355</v>
      </c>
      <c r="S249" s="16">
        <v>712</v>
      </c>
      <c r="U249" s="16">
        <v>0</v>
      </c>
      <c r="W249" s="16">
        <v>0</v>
      </c>
      <c r="Y249" s="16">
        <v>0</v>
      </c>
      <c r="AA249" s="16">
        <v>0</v>
      </c>
      <c r="AC249" s="16">
        <v>0</v>
      </c>
      <c r="AE249" s="32">
        <f t="shared" si="3"/>
        <v>54170</v>
      </c>
    </row>
    <row r="250" spans="1:31" ht="12.75" customHeight="1">
      <c r="A250" s="1" t="s">
        <v>241</v>
      </c>
      <c r="C250" s="1" t="s">
        <v>106</v>
      </c>
      <c r="D250" s="16"/>
      <c r="E250" s="16">
        <v>153407</v>
      </c>
      <c r="G250" s="16">
        <v>0</v>
      </c>
      <c r="I250" s="16">
        <v>453224</v>
      </c>
      <c r="K250" s="16">
        <v>0</v>
      </c>
      <c r="M250" s="16">
        <v>6526</v>
      </c>
      <c r="O250" s="16">
        <v>48575</v>
      </c>
      <c r="Q250" s="16">
        <v>6375</v>
      </c>
      <c r="S250" s="16">
        <v>22399</v>
      </c>
      <c r="U250" s="16">
        <v>0</v>
      </c>
      <c r="W250" s="16">
        <v>0</v>
      </c>
      <c r="Y250" s="16">
        <v>293000</v>
      </c>
      <c r="AA250" s="16">
        <v>0</v>
      </c>
      <c r="AC250" s="16">
        <v>0</v>
      </c>
      <c r="AE250" s="32">
        <f t="shared" si="3"/>
        <v>983506</v>
      </c>
    </row>
    <row r="251" spans="1:31" ht="12.75" customHeight="1">
      <c r="A251" s="1" t="s">
        <v>753</v>
      </c>
      <c r="C251" s="1" t="s">
        <v>172</v>
      </c>
      <c r="E251" s="16">
        <v>33460</v>
      </c>
      <c r="G251" s="16">
        <v>0</v>
      </c>
      <c r="I251" s="16">
        <v>11392</v>
      </c>
      <c r="K251" s="16">
        <v>0</v>
      </c>
      <c r="M251" s="16">
        <v>93374</v>
      </c>
      <c r="O251" s="16">
        <v>68855</v>
      </c>
      <c r="Q251" s="16">
        <v>379</v>
      </c>
      <c r="S251" s="16">
        <v>1112</v>
      </c>
      <c r="U251" s="16">
        <v>0</v>
      </c>
      <c r="W251" s="16">
        <v>0</v>
      </c>
      <c r="Y251" s="16">
        <v>0</v>
      </c>
      <c r="AA251" s="16">
        <v>0</v>
      </c>
      <c r="AC251" s="16">
        <v>0</v>
      </c>
      <c r="AE251" s="32">
        <f t="shared" si="3"/>
        <v>208572</v>
      </c>
    </row>
    <row r="252" spans="1:31" ht="12.75" customHeight="1">
      <c r="A252" s="1" t="s">
        <v>771</v>
      </c>
      <c r="C252" s="1" t="s">
        <v>94</v>
      </c>
      <c r="E252" s="16">
        <v>38543</v>
      </c>
      <c r="G252" s="16">
        <v>0</v>
      </c>
      <c r="I252" s="16">
        <v>32321</v>
      </c>
      <c r="K252" s="16">
        <v>0</v>
      </c>
      <c r="M252" s="16">
        <v>1013</v>
      </c>
      <c r="O252" s="16">
        <v>25812</v>
      </c>
      <c r="Q252" s="16">
        <v>10485</v>
      </c>
      <c r="S252" s="16">
        <v>160</v>
      </c>
      <c r="U252" s="16">
        <v>0</v>
      </c>
      <c r="W252" s="16">
        <v>300</v>
      </c>
      <c r="Y252" s="16">
        <v>93873</v>
      </c>
      <c r="AA252" s="16">
        <v>0</v>
      </c>
      <c r="AC252" s="16">
        <v>0</v>
      </c>
      <c r="AE252" s="32">
        <f t="shared" si="3"/>
        <v>202507</v>
      </c>
    </row>
    <row r="253" spans="1:31" ht="12.75" customHeight="1">
      <c r="A253" s="1" t="s">
        <v>679</v>
      </c>
      <c r="C253" s="1" t="s">
        <v>82</v>
      </c>
      <c r="E253" s="16">
        <v>17026</v>
      </c>
      <c r="G253" s="16">
        <v>0</v>
      </c>
      <c r="I253" s="16">
        <v>17299</v>
      </c>
      <c r="K253" s="16">
        <v>0</v>
      </c>
      <c r="M253" s="16">
        <v>0</v>
      </c>
      <c r="O253" s="16">
        <v>0</v>
      </c>
      <c r="Q253" s="16">
        <v>902</v>
      </c>
      <c r="S253" s="16">
        <v>3964</v>
      </c>
      <c r="U253" s="16">
        <v>0</v>
      </c>
      <c r="W253" s="16">
        <v>0</v>
      </c>
      <c r="Y253" s="16">
        <v>0</v>
      </c>
      <c r="AA253" s="16">
        <v>0</v>
      </c>
      <c r="AC253" s="16">
        <v>0</v>
      </c>
      <c r="AE253" s="32">
        <f t="shared" si="3"/>
        <v>39191</v>
      </c>
    </row>
    <row r="254" spans="1:31" ht="12.75" customHeight="1">
      <c r="A254" s="1" t="s">
        <v>452</v>
      </c>
      <c r="C254" s="1" t="s">
        <v>453</v>
      </c>
      <c r="E254" s="16">
        <v>22655</v>
      </c>
      <c r="G254" s="16">
        <v>0</v>
      </c>
      <c r="I254" s="16">
        <v>42462</v>
      </c>
      <c r="K254" s="16">
        <v>0</v>
      </c>
      <c r="M254" s="16">
        <v>7960</v>
      </c>
      <c r="O254" s="16">
        <v>2146</v>
      </c>
      <c r="Q254" s="16">
        <v>1790</v>
      </c>
      <c r="S254" s="16">
        <v>137</v>
      </c>
      <c r="U254" s="16">
        <v>0</v>
      </c>
      <c r="W254" s="16">
        <v>0</v>
      </c>
      <c r="Y254" s="16">
        <v>0</v>
      </c>
      <c r="AA254" s="16">
        <v>0</v>
      </c>
      <c r="AC254" s="16">
        <v>0</v>
      </c>
      <c r="AE254" s="32">
        <f t="shared" si="3"/>
        <v>77150</v>
      </c>
    </row>
    <row r="255" spans="1:31" ht="12.75" customHeight="1">
      <c r="A255" s="1" t="s">
        <v>242</v>
      </c>
      <c r="C255" s="1" t="s">
        <v>231</v>
      </c>
      <c r="D255" s="16"/>
      <c r="E255" s="16">
        <v>988267</v>
      </c>
      <c r="G255" s="16">
        <v>0</v>
      </c>
      <c r="I255" s="16">
        <v>136207</v>
      </c>
      <c r="K255" s="16">
        <v>0</v>
      </c>
      <c r="M255" s="16">
        <v>0</v>
      </c>
      <c r="O255" s="16">
        <v>0</v>
      </c>
      <c r="Q255" s="16">
        <v>45407</v>
      </c>
      <c r="S255" s="16">
        <v>11487</v>
      </c>
      <c r="U255" s="16">
        <v>325000</v>
      </c>
      <c r="W255" s="16">
        <v>0</v>
      </c>
      <c r="Y255" s="16">
        <v>0</v>
      </c>
      <c r="AA255" s="16">
        <v>0</v>
      </c>
      <c r="AC255" s="16">
        <v>0</v>
      </c>
      <c r="AE255" s="32">
        <f t="shared" si="3"/>
        <v>1506368</v>
      </c>
    </row>
    <row r="256" spans="1:31" ht="12.75" customHeight="1">
      <c r="A256" s="1" t="s">
        <v>718</v>
      </c>
      <c r="C256" s="1" t="s">
        <v>142</v>
      </c>
      <c r="E256" s="16">
        <v>20266</v>
      </c>
      <c r="G256" s="16">
        <v>0</v>
      </c>
      <c r="I256" s="16">
        <v>22762</v>
      </c>
      <c r="K256" s="16">
        <v>0</v>
      </c>
      <c r="M256" s="16">
        <v>76</v>
      </c>
      <c r="O256" s="16">
        <v>0</v>
      </c>
      <c r="Q256" s="16">
        <v>11080</v>
      </c>
      <c r="S256" s="16">
        <v>110</v>
      </c>
      <c r="U256" s="16">
        <v>0</v>
      </c>
      <c r="W256" s="16">
        <v>0</v>
      </c>
      <c r="Y256" s="16">
        <v>0</v>
      </c>
      <c r="AA256" s="16">
        <v>0</v>
      </c>
      <c r="AC256" s="16">
        <v>0</v>
      </c>
      <c r="AE256" s="32">
        <f t="shared" si="3"/>
        <v>54294</v>
      </c>
    </row>
    <row r="257" spans="1:31" ht="12.75" customHeight="1">
      <c r="A257" s="1" t="s">
        <v>243</v>
      </c>
      <c r="C257" s="1" t="s">
        <v>244</v>
      </c>
      <c r="D257" s="16"/>
      <c r="E257" s="16">
        <v>1035583</v>
      </c>
      <c r="G257" s="16">
        <v>0</v>
      </c>
      <c r="I257" s="16">
        <v>236497</v>
      </c>
      <c r="K257" s="16">
        <v>0</v>
      </c>
      <c r="M257" s="16">
        <v>67258</v>
      </c>
      <c r="O257" s="16">
        <v>54560</v>
      </c>
      <c r="Q257" s="16">
        <v>97805</v>
      </c>
      <c r="S257" s="16">
        <v>60651</v>
      </c>
      <c r="U257" s="16">
        <v>0</v>
      </c>
      <c r="W257" s="16">
        <v>0</v>
      </c>
      <c r="Y257" s="16">
        <v>0</v>
      </c>
      <c r="AA257" s="16">
        <v>0</v>
      </c>
      <c r="AC257" s="16">
        <v>0</v>
      </c>
      <c r="AE257" s="32">
        <f t="shared" si="3"/>
        <v>1552354</v>
      </c>
    </row>
    <row r="258" spans="1:31" ht="12.75" customHeight="1">
      <c r="A258" s="1" t="s">
        <v>245</v>
      </c>
      <c r="C258" s="1" t="s">
        <v>246</v>
      </c>
      <c r="D258" s="16"/>
      <c r="E258" s="16">
        <v>50461</v>
      </c>
      <c r="G258" s="16">
        <v>0</v>
      </c>
      <c r="I258" s="16">
        <v>0</v>
      </c>
      <c r="K258" s="16">
        <v>0</v>
      </c>
      <c r="M258" s="16">
        <v>0</v>
      </c>
      <c r="O258" s="16">
        <v>0</v>
      </c>
      <c r="Q258" s="16">
        <v>0</v>
      </c>
      <c r="S258" s="16">
        <v>0</v>
      </c>
      <c r="U258" s="16">
        <v>0</v>
      </c>
      <c r="W258" s="16">
        <v>0</v>
      </c>
      <c r="Y258" s="16">
        <v>0</v>
      </c>
      <c r="AA258" s="16">
        <v>0</v>
      </c>
      <c r="AC258" s="16">
        <v>0</v>
      </c>
      <c r="AE258" s="32">
        <f t="shared" si="3"/>
        <v>50461</v>
      </c>
    </row>
    <row r="259" spans="1:31" ht="12.75" customHeight="1">
      <c r="A259" s="1" t="s">
        <v>247</v>
      </c>
      <c r="C259" s="1" t="s">
        <v>247</v>
      </c>
      <c r="D259" s="16"/>
      <c r="E259" s="16">
        <v>7607</v>
      </c>
      <c r="G259" s="16">
        <v>0</v>
      </c>
      <c r="I259" s="16">
        <v>29188</v>
      </c>
      <c r="K259" s="16">
        <v>0</v>
      </c>
      <c r="M259" s="16">
        <v>0</v>
      </c>
      <c r="O259" s="16">
        <v>0</v>
      </c>
      <c r="Q259" s="16">
        <v>91</v>
      </c>
      <c r="S259" s="16">
        <v>3471</v>
      </c>
      <c r="U259" s="16">
        <v>0</v>
      </c>
      <c r="W259" s="16">
        <v>0</v>
      </c>
      <c r="Y259" s="16">
        <v>0</v>
      </c>
      <c r="AA259" s="16">
        <v>0</v>
      </c>
      <c r="AC259" s="16">
        <v>0</v>
      </c>
      <c r="AE259" s="32">
        <f t="shared" si="3"/>
        <v>40357</v>
      </c>
    </row>
    <row r="260" spans="1:31" ht="12.75" customHeight="1">
      <c r="A260" s="1" t="s">
        <v>730</v>
      </c>
      <c r="C260" s="1" t="s">
        <v>106</v>
      </c>
      <c r="E260" s="16">
        <v>13</v>
      </c>
      <c r="G260" s="16">
        <v>0</v>
      </c>
      <c r="I260" s="16">
        <v>101205</v>
      </c>
      <c r="K260" s="16">
        <v>0</v>
      </c>
      <c r="M260" s="16">
        <v>0</v>
      </c>
      <c r="O260" s="16">
        <v>0</v>
      </c>
      <c r="Q260" s="16">
        <v>79018</v>
      </c>
      <c r="S260" s="16">
        <v>725</v>
      </c>
      <c r="U260" s="16">
        <v>0</v>
      </c>
      <c r="W260" s="16">
        <v>0</v>
      </c>
      <c r="Y260" s="16">
        <v>0</v>
      </c>
      <c r="AA260" s="16">
        <v>0</v>
      </c>
      <c r="AC260" s="16">
        <v>0</v>
      </c>
      <c r="AE260" s="32">
        <f t="shared" si="3"/>
        <v>180961</v>
      </c>
    </row>
    <row r="261" spans="1:31" ht="12.75" customHeight="1">
      <c r="A261" s="1" t="s">
        <v>691</v>
      </c>
      <c r="C261" s="1" t="s">
        <v>137</v>
      </c>
      <c r="E261" s="16">
        <v>41023</v>
      </c>
      <c r="G261" s="16">
        <v>490850</v>
      </c>
      <c r="I261" s="16">
        <v>137744</v>
      </c>
      <c r="K261" s="16">
        <v>0</v>
      </c>
      <c r="M261" s="16">
        <v>144500</v>
      </c>
      <c r="O261" s="16">
        <v>24343</v>
      </c>
      <c r="Q261" s="16">
        <v>18558</v>
      </c>
      <c r="S261" s="16">
        <v>29248</v>
      </c>
      <c r="U261" s="16">
        <v>0</v>
      </c>
      <c r="W261" s="16">
        <v>0</v>
      </c>
      <c r="Y261" s="16">
        <v>377889</v>
      </c>
      <c r="AA261" s="16">
        <v>20000</v>
      </c>
      <c r="AC261" s="16">
        <v>0</v>
      </c>
      <c r="AE261" s="32">
        <f t="shared" si="3"/>
        <v>1284155</v>
      </c>
    </row>
    <row r="262" spans="1:31" ht="12.75" customHeight="1">
      <c r="A262" s="1" t="s">
        <v>248</v>
      </c>
      <c r="C262" s="1" t="s">
        <v>239</v>
      </c>
      <c r="D262" s="16"/>
      <c r="E262" s="16">
        <v>20132</v>
      </c>
      <c r="G262" s="16">
        <v>118312</v>
      </c>
      <c r="I262" s="16">
        <v>63322</v>
      </c>
      <c r="K262" s="16">
        <v>0</v>
      </c>
      <c r="M262" s="16">
        <v>0</v>
      </c>
      <c r="O262" s="16">
        <v>2863</v>
      </c>
      <c r="Q262" s="16">
        <v>7534</v>
      </c>
      <c r="S262" s="16">
        <v>7801</v>
      </c>
      <c r="U262" s="16">
        <v>0</v>
      </c>
      <c r="W262" s="16">
        <v>0</v>
      </c>
      <c r="Y262" s="16">
        <v>0</v>
      </c>
      <c r="AA262" s="16">
        <v>0</v>
      </c>
      <c r="AC262" s="16">
        <v>35</v>
      </c>
      <c r="AE262" s="32">
        <f t="shared" si="3"/>
        <v>219999</v>
      </c>
    </row>
    <row r="263" spans="1:31" ht="12.75" customHeight="1">
      <c r="A263" s="1" t="s">
        <v>782</v>
      </c>
      <c r="C263" s="1" t="s">
        <v>190</v>
      </c>
      <c r="E263" s="16">
        <v>304213</v>
      </c>
      <c r="G263" s="16">
        <v>0</v>
      </c>
      <c r="I263" s="16">
        <v>10692</v>
      </c>
      <c r="K263" s="16">
        <v>0</v>
      </c>
      <c r="M263" s="16">
        <v>0</v>
      </c>
      <c r="O263" s="16">
        <v>0</v>
      </c>
      <c r="Q263" s="16">
        <v>4783</v>
      </c>
      <c r="S263" s="16">
        <v>1227</v>
      </c>
      <c r="U263" s="16">
        <v>0</v>
      </c>
      <c r="W263" s="16">
        <v>0</v>
      </c>
      <c r="Y263" s="16">
        <v>0</v>
      </c>
      <c r="AA263" s="16">
        <v>0</v>
      </c>
      <c r="AC263" s="16">
        <v>0</v>
      </c>
      <c r="AE263" s="32">
        <f t="shared" si="3"/>
        <v>320915</v>
      </c>
    </row>
    <row r="264" spans="1:31" ht="12.75" customHeight="1">
      <c r="A264" s="1" t="s">
        <v>249</v>
      </c>
      <c r="C264" s="1" t="s">
        <v>250</v>
      </c>
      <c r="D264" s="16"/>
      <c r="E264" s="16">
        <v>42141</v>
      </c>
      <c r="G264" s="16">
        <v>1304353</v>
      </c>
      <c r="I264" s="16">
        <v>202619</v>
      </c>
      <c r="K264" s="16">
        <v>31042</v>
      </c>
      <c r="M264" s="16">
        <v>6011</v>
      </c>
      <c r="O264" s="16">
        <v>31284</v>
      </c>
      <c r="Q264" s="16">
        <v>40977</v>
      </c>
      <c r="S264" s="16">
        <v>144905</v>
      </c>
      <c r="U264" s="16">
        <v>0</v>
      </c>
      <c r="W264" s="16">
        <v>0</v>
      </c>
      <c r="Y264" s="16">
        <v>0</v>
      </c>
      <c r="AA264" s="16">
        <v>0</v>
      </c>
      <c r="AC264" s="16">
        <v>0</v>
      </c>
      <c r="AE264" s="32">
        <f t="shared" si="3"/>
        <v>1803332</v>
      </c>
    </row>
    <row r="265" spans="1:31" ht="12.75" customHeight="1">
      <c r="A265" s="1" t="s">
        <v>251</v>
      </c>
      <c r="C265" s="1" t="s">
        <v>78</v>
      </c>
      <c r="D265" s="16"/>
      <c r="E265" s="16">
        <v>14641</v>
      </c>
      <c r="G265" s="16">
        <v>0</v>
      </c>
      <c r="I265" s="16">
        <v>48476</v>
      </c>
      <c r="K265" s="16">
        <v>0</v>
      </c>
      <c r="M265" s="16">
        <v>0</v>
      </c>
      <c r="O265" s="16">
        <v>0</v>
      </c>
      <c r="Q265" s="16">
        <v>172</v>
      </c>
      <c r="S265" s="16">
        <v>1730</v>
      </c>
      <c r="U265" s="16">
        <v>0</v>
      </c>
      <c r="W265" s="16">
        <v>0</v>
      </c>
      <c r="Y265" s="16">
        <v>0</v>
      </c>
      <c r="AA265" s="16">
        <v>0</v>
      </c>
      <c r="AC265" s="16">
        <v>0</v>
      </c>
      <c r="AE265" s="32">
        <f t="shared" si="3"/>
        <v>65019</v>
      </c>
    </row>
    <row r="266" spans="1:31" ht="12.75" customHeight="1">
      <c r="A266" s="1" t="s">
        <v>468</v>
      </c>
      <c r="C266" s="1" t="s">
        <v>100</v>
      </c>
      <c r="E266" s="16">
        <v>6471</v>
      </c>
      <c r="G266" s="16">
        <v>0</v>
      </c>
      <c r="I266" s="16">
        <v>48336</v>
      </c>
      <c r="K266" s="16">
        <v>0</v>
      </c>
      <c r="M266" s="16">
        <v>0</v>
      </c>
      <c r="O266" s="16">
        <v>68</v>
      </c>
      <c r="Q266" s="16">
        <v>4008</v>
      </c>
      <c r="S266" s="16">
        <v>3468</v>
      </c>
      <c r="U266" s="16">
        <v>0</v>
      </c>
      <c r="W266" s="16">
        <v>0</v>
      </c>
      <c r="Y266" s="16">
        <v>0</v>
      </c>
      <c r="AA266" s="16">
        <v>0</v>
      </c>
      <c r="AC266" s="16">
        <v>0</v>
      </c>
      <c r="AE266" s="32">
        <f t="shared" si="3"/>
        <v>62351</v>
      </c>
    </row>
    <row r="267" spans="1:31" ht="12.75" customHeight="1">
      <c r="A267" s="1" t="s">
        <v>784</v>
      </c>
      <c r="D267" s="1"/>
      <c r="E267" s="1"/>
      <c r="F267" s="1"/>
      <c r="G267" s="1"/>
      <c r="AA267" s="16"/>
      <c r="AC267" s="16"/>
      <c r="AE267" s="32" t="s">
        <v>785</v>
      </c>
    </row>
    <row r="268" spans="1:44" s="36" customFormat="1" ht="12.75" customHeight="1">
      <c r="A268" s="36" t="s">
        <v>580</v>
      </c>
      <c r="C268" s="36" t="s">
        <v>133</v>
      </c>
      <c r="D268" s="42"/>
      <c r="E268" s="36">
        <v>123702</v>
      </c>
      <c r="G268" s="36">
        <v>0</v>
      </c>
      <c r="I268" s="36">
        <v>43701</v>
      </c>
      <c r="K268" s="36">
        <v>0</v>
      </c>
      <c r="M268" s="36">
        <v>0</v>
      </c>
      <c r="O268" s="36">
        <v>4595</v>
      </c>
      <c r="Q268" s="36">
        <v>1304</v>
      </c>
      <c r="S268" s="36">
        <v>27936</v>
      </c>
      <c r="U268" s="36">
        <v>0</v>
      </c>
      <c r="W268" s="36">
        <v>7001</v>
      </c>
      <c r="Y268" s="36">
        <v>59372</v>
      </c>
      <c r="AA268" s="36">
        <v>0</v>
      </c>
      <c r="AB268" s="37"/>
      <c r="AC268" s="36">
        <v>23602</v>
      </c>
      <c r="AD268" s="37"/>
      <c r="AE268" s="38">
        <f t="shared" si="3"/>
        <v>291213</v>
      </c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</row>
    <row r="269" spans="1:44" s="16" customFormat="1" ht="12.75" customHeight="1">
      <c r="A269" s="16" t="s">
        <v>772</v>
      </c>
      <c r="C269" s="16" t="s">
        <v>94</v>
      </c>
      <c r="D269" s="41"/>
      <c r="E269" s="16">
        <v>5468</v>
      </c>
      <c r="G269" s="16">
        <v>0</v>
      </c>
      <c r="I269" s="16">
        <v>18766</v>
      </c>
      <c r="K269" s="16">
        <v>0</v>
      </c>
      <c r="M269" s="16">
        <v>0</v>
      </c>
      <c r="O269" s="16">
        <v>0</v>
      </c>
      <c r="Q269" s="16">
        <v>63</v>
      </c>
      <c r="S269" s="16">
        <v>6164</v>
      </c>
      <c r="U269" s="16">
        <v>0</v>
      </c>
      <c r="W269" s="16">
        <v>0</v>
      </c>
      <c r="Y269" s="16">
        <v>0</v>
      </c>
      <c r="AA269" s="16">
        <v>0</v>
      </c>
      <c r="AB269" s="20"/>
      <c r="AC269" s="16">
        <v>0</v>
      </c>
      <c r="AD269" s="20"/>
      <c r="AE269" s="32">
        <f aca="true" t="shared" si="4" ref="AE269:AE331">SUM(E269:AC269)</f>
        <v>30461</v>
      </c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1:31" ht="12.75" customHeight="1">
      <c r="A270" s="1" t="s">
        <v>252</v>
      </c>
      <c r="C270" s="1" t="s">
        <v>112</v>
      </c>
      <c r="D270" s="16"/>
      <c r="E270" s="16">
        <v>643313</v>
      </c>
      <c r="G270" s="16">
        <v>4547</v>
      </c>
      <c r="I270" s="16">
        <v>2452473</v>
      </c>
      <c r="K270" s="16">
        <v>0</v>
      </c>
      <c r="M270" s="16">
        <v>53150</v>
      </c>
      <c r="O270" s="16">
        <v>74091</v>
      </c>
      <c r="Q270" s="16">
        <v>242511</v>
      </c>
      <c r="S270" s="16">
        <v>365756</v>
      </c>
      <c r="U270" s="16">
        <v>0</v>
      </c>
      <c r="W270" s="16">
        <v>0</v>
      </c>
      <c r="Y270" s="16">
        <v>0</v>
      </c>
      <c r="AA270" s="16">
        <v>0</v>
      </c>
      <c r="AC270" s="16">
        <v>0</v>
      </c>
      <c r="AE270" s="32">
        <f t="shared" si="4"/>
        <v>3835841</v>
      </c>
    </row>
    <row r="271" spans="1:31" ht="12.75" customHeight="1">
      <c r="A271" s="1" t="s">
        <v>618</v>
      </c>
      <c r="C271" s="1" t="s">
        <v>369</v>
      </c>
      <c r="E271" s="16">
        <v>9767</v>
      </c>
      <c r="G271" s="16">
        <v>0</v>
      </c>
      <c r="I271" s="16">
        <v>19027</v>
      </c>
      <c r="K271" s="16">
        <v>0</v>
      </c>
      <c r="M271" s="16">
        <v>33750</v>
      </c>
      <c r="O271" s="16">
        <v>344</v>
      </c>
      <c r="Q271" s="16">
        <v>1209</v>
      </c>
      <c r="S271" s="16">
        <v>2859</v>
      </c>
      <c r="U271" s="16">
        <v>0</v>
      </c>
      <c r="W271" s="16">
        <v>0</v>
      </c>
      <c r="Y271" s="16">
        <v>64138</v>
      </c>
      <c r="AA271" s="16">
        <v>0</v>
      </c>
      <c r="AC271" s="16">
        <v>0</v>
      </c>
      <c r="AE271" s="32">
        <f t="shared" si="4"/>
        <v>131094</v>
      </c>
    </row>
    <row r="272" spans="1:31" ht="12.75" customHeight="1">
      <c r="A272" s="1" t="s">
        <v>600</v>
      </c>
      <c r="C272" s="1" t="s">
        <v>69</v>
      </c>
      <c r="E272" s="16">
        <v>17451</v>
      </c>
      <c r="G272" s="16">
        <v>0</v>
      </c>
      <c r="I272" s="16">
        <v>15181</v>
      </c>
      <c r="K272" s="16">
        <v>0</v>
      </c>
      <c r="M272" s="16">
        <v>0</v>
      </c>
      <c r="O272" s="16">
        <v>0</v>
      </c>
      <c r="Q272" s="16">
        <v>101</v>
      </c>
      <c r="S272" s="16">
        <v>17979</v>
      </c>
      <c r="U272" s="16">
        <v>0</v>
      </c>
      <c r="W272" s="16">
        <v>0</v>
      </c>
      <c r="Y272" s="16">
        <v>0</v>
      </c>
      <c r="AA272" s="16">
        <v>0</v>
      </c>
      <c r="AC272" s="16">
        <v>0</v>
      </c>
      <c r="AE272" s="32">
        <f t="shared" si="4"/>
        <v>50712</v>
      </c>
    </row>
    <row r="273" spans="1:31" ht="12.75" customHeight="1">
      <c r="A273" s="1" t="s">
        <v>253</v>
      </c>
      <c r="C273" s="1" t="s">
        <v>78</v>
      </c>
      <c r="D273" s="1"/>
      <c r="E273" s="16">
        <v>915</v>
      </c>
      <c r="G273" s="16">
        <v>0</v>
      </c>
      <c r="I273" s="16">
        <v>32411</v>
      </c>
      <c r="K273" s="16">
        <v>0</v>
      </c>
      <c r="M273" s="16">
        <v>0</v>
      </c>
      <c r="O273" s="16">
        <v>0</v>
      </c>
      <c r="Q273" s="16">
        <v>728</v>
      </c>
      <c r="S273" s="16">
        <v>0</v>
      </c>
      <c r="U273" s="16">
        <v>0</v>
      </c>
      <c r="W273" s="16">
        <v>0</v>
      </c>
      <c r="Y273" s="16">
        <v>0</v>
      </c>
      <c r="AA273" s="16">
        <v>0</v>
      </c>
      <c r="AC273" s="16">
        <v>0</v>
      </c>
      <c r="AE273" s="32">
        <f t="shared" si="4"/>
        <v>34054</v>
      </c>
    </row>
    <row r="274" spans="1:31" ht="12.75" customHeight="1">
      <c r="A274" s="1" t="s">
        <v>728</v>
      </c>
      <c r="C274" s="1" t="s">
        <v>131</v>
      </c>
      <c r="E274" s="16">
        <v>80335</v>
      </c>
      <c r="G274" s="16">
        <v>796</v>
      </c>
      <c r="I274" s="16">
        <v>91851</v>
      </c>
      <c r="K274" s="16">
        <v>0</v>
      </c>
      <c r="M274" s="16">
        <v>36620</v>
      </c>
      <c r="O274" s="16">
        <v>15207</v>
      </c>
      <c r="Q274" s="16">
        <v>18611</v>
      </c>
      <c r="S274" s="16">
        <v>2632</v>
      </c>
      <c r="U274" s="16">
        <v>0</v>
      </c>
      <c r="W274" s="16">
        <v>0</v>
      </c>
      <c r="Y274" s="16">
        <v>83177</v>
      </c>
      <c r="AA274" s="16">
        <v>0</v>
      </c>
      <c r="AC274" s="16">
        <v>0</v>
      </c>
      <c r="AE274" s="32">
        <f t="shared" si="4"/>
        <v>329229</v>
      </c>
    </row>
    <row r="275" spans="1:31" ht="12.75" customHeight="1">
      <c r="A275" s="1" t="s">
        <v>254</v>
      </c>
      <c r="C275" s="1" t="s">
        <v>71</v>
      </c>
      <c r="D275" s="16"/>
      <c r="E275" s="16">
        <v>22702</v>
      </c>
      <c r="I275" s="16">
        <v>17332</v>
      </c>
      <c r="K275" s="16">
        <v>0</v>
      </c>
      <c r="M275" s="16">
        <v>0</v>
      </c>
      <c r="O275" s="16">
        <v>7326</v>
      </c>
      <c r="Q275" s="16">
        <v>191</v>
      </c>
      <c r="S275" s="16">
        <v>0</v>
      </c>
      <c r="U275" s="16">
        <v>0</v>
      </c>
      <c r="W275" s="16">
        <v>0</v>
      </c>
      <c r="Y275" s="16">
        <v>0</v>
      </c>
      <c r="AA275" s="16">
        <v>0</v>
      </c>
      <c r="AC275" s="16">
        <v>488</v>
      </c>
      <c r="AE275" s="32">
        <f t="shared" si="4"/>
        <v>48039</v>
      </c>
    </row>
    <row r="276" spans="1:31" ht="12.75" customHeight="1">
      <c r="A276" s="1" t="s">
        <v>555</v>
      </c>
      <c r="C276" s="1" t="s">
        <v>157</v>
      </c>
      <c r="E276" s="16">
        <v>102757</v>
      </c>
      <c r="G276" s="16">
        <v>122405</v>
      </c>
      <c r="I276" s="16">
        <v>84346</v>
      </c>
      <c r="K276" s="16">
        <v>0</v>
      </c>
      <c r="M276" s="16">
        <v>14379</v>
      </c>
      <c r="O276" s="16">
        <v>2898</v>
      </c>
      <c r="Q276" s="16">
        <v>2941</v>
      </c>
      <c r="S276" s="16">
        <v>0</v>
      </c>
      <c r="U276" s="16">
        <v>0</v>
      </c>
      <c r="W276" s="16">
        <v>0</v>
      </c>
      <c r="Y276" s="16">
        <v>0</v>
      </c>
      <c r="AA276" s="16">
        <v>0</v>
      </c>
      <c r="AC276" s="16">
        <v>7810</v>
      </c>
      <c r="AE276" s="32">
        <f t="shared" si="4"/>
        <v>337536</v>
      </c>
    </row>
    <row r="277" spans="1:31" ht="12.75" customHeight="1">
      <c r="A277" s="1" t="s">
        <v>255</v>
      </c>
      <c r="C277" s="1" t="s">
        <v>76</v>
      </c>
      <c r="D277" s="16"/>
      <c r="E277" s="16">
        <v>730171</v>
      </c>
      <c r="G277" s="16">
        <v>0</v>
      </c>
      <c r="I277" s="16">
        <v>105107</v>
      </c>
      <c r="K277" s="16">
        <v>0</v>
      </c>
      <c r="M277" s="16">
        <v>138</v>
      </c>
      <c r="O277" s="16">
        <v>22956</v>
      </c>
      <c r="Q277" s="16">
        <v>3539</v>
      </c>
      <c r="S277" s="16">
        <v>11809</v>
      </c>
      <c r="U277" s="16">
        <v>0</v>
      </c>
      <c r="W277" s="16">
        <v>0</v>
      </c>
      <c r="Y277" s="16">
        <v>0</v>
      </c>
      <c r="AA277" s="16">
        <v>0</v>
      </c>
      <c r="AC277" s="16">
        <v>0</v>
      </c>
      <c r="AE277" s="32">
        <f t="shared" si="4"/>
        <v>873720</v>
      </c>
    </row>
    <row r="278" spans="1:31" ht="12.75" customHeight="1">
      <c r="A278" s="1" t="s">
        <v>538</v>
      </c>
      <c r="C278" s="1" t="s">
        <v>200</v>
      </c>
      <c r="E278" s="16">
        <v>189408</v>
      </c>
      <c r="G278" s="16">
        <v>248762</v>
      </c>
      <c r="I278" s="16">
        <v>19571</v>
      </c>
      <c r="K278" s="16">
        <v>0</v>
      </c>
      <c r="M278" s="16">
        <v>0</v>
      </c>
      <c r="O278" s="16">
        <v>5635</v>
      </c>
      <c r="Q278" s="16">
        <v>501</v>
      </c>
      <c r="S278" s="16">
        <v>135043</v>
      </c>
      <c r="U278" s="16">
        <v>0</v>
      </c>
      <c r="W278" s="16">
        <v>0</v>
      </c>
      <c r="Y278" s="16">
        <v>0</v>
      </c>
      <c r="AA278" s="16">
        <v>0</v>
      </c>
      <c r="AC278" s="16">
        <v>0</v>
      </c>
      <c r="AE278" s="32">
        <f t="shared" si="4"/>
        <v>598920</v>
      </c>
    </row>
    <row r="279" spans="1:31" ht="12.75" customHeight="1">
      <c r="A279" s="1" t="s">
        <v>256</v>
      </c>
      <c r="C279" s="1" t="s">
        <v>114</v>
      </c>
      <c r="D279" s="1"/>
      <c r="E279" s="16">
        <v>8408</v>
      </c>
      <c r="G279" s="16">
        <v>0</v>
      </c>
      <c r="I279" s="16">
        <v>63544</v>
      </c>
      <c r="K279" s="16">
        <v>0</v>
      </c>
      <c r="M279" s="16">
        <v>5730</v>
      </c>
      <c r="O279" s="16">
        <v>0</v>
      </c>
      <c r="Q279" s="16">
        <v>0</v>
      </c>
      <c r="S279" s="16">
        <v>2076</v>
      </c>
      <c r="U279" s="16">
        <v>0</v>
      </c>
      <c r="W279" s="16">
        <v>0</v>
      </c>
      <c r="Y279" s="16">
        <v>0</v>
      </c>
      <c r="AA279" s="16">
        <v>0</v>
      </c>
      <c r="AC279" s="16">
        <v>1774</v>
      </c>
      <c r="AE279" s="32">
        <f t="shared" si="4"/>
        <v>81532</v>
      </c>
    </row>
    <row r="280" spans="1:31" ht="12.75" customHeight="1">
      <c r="A280" s="1" t="s">
        <v>257</v>
      </c>
      <c r="C280" s="30" t="s">
        <v>92</v>
      </c>
      <c r="D280" s="16"/>
      <c r="E280" s="16">
        <v>7959</v>
      </c>
      <c r="G280" s="16">
        <v>0</v>
      </c>
      <c r="I280" s="16">
        <v>44763</v>
      </c>
      <c r="K280" s="16">
        <v>0</v>
      </c>
      <c r="M280" s="16">
        <v>510</v>
      </c>
      <c r="O280" s="16">
        <v>50</v>
      </c>
      <c r="Q280" s="16">
        <v>781</v>
      </c>
      <c r="S280" s="16">
        <v>262</v>
      </c>
      <c r="U280" s="16">
        <v>0</v>
      </c>
      <c r="W280" s="16">
        <v>0</v>
      </c>
      <c r="Y280" s="16">
        <v>0</v>
      </c>
      <c r="AA280" s="16">
        <v>0</v>
      </c>
      <c r="AC280" s="16">
        <v>0</v>
      </c>
      <c r="AE280" s="32">
        <f t="shared" si="4"/>
        <v>54325</v>
      </c>
    </row>
    <row r="281" spans="1:31" ht="12.75" customHeight="1">
      <c r="A281" s="1" t="s">
        <v>258</v>
      </c>
      <c r="C281" s="1" t="s">
        <v>94</v>
      </c>
      <c r="D281" s="1"/>
      <c r="E281" s="16">
        <v>14790</v>
      </c>
      <c r="G281" s="16">
        <v>0</v>
      </c>
      <c r="I281" s="16">
        <f>8728+6790</f>
        <v>15518</v>
      </c>
      <c r="K281" s="16">
        <v>0</v>
      </c>
      <c r="M281" s="16">
        <v>0</v>
      </c>
      <c r="O281" s="16">
        <v>2158</v>
      </c>
      <c r="Q281" s="16">
        <v>0</v>
      </c>
      <c r="S281" s="16">
        <v>0</v>
      </c>
      <c r="U281" s="16">
        <v>0</v>
      </c>
      <c r="W281" s="16">
        <v>0</v>
      </c>
      <c r="Y281" s="16">
        <v>0</v>
      </c>
      <c r="AA281" s="16">
        <v>0</v>
      </c>
      <c r="AC281" s="16">
        <v>0</v>
      </c>
      <c r="AE281" s="32">
        <f t="shared" si="4"/>
        <v>32466</v>
      </c>
    </row>
    <row r="282" spans="1:31" ht="12.75" customHeight="1">
      <c r="A282" s="1" t="s">
        <v>581</v>
      </c>
      <c r="C282" s="1" t="s">
        <v>133</v>
      </c>
      <c r="E282" s="16">
        <v>52941</v>
      </c>
      <c r="G282" s="16">
        <v>10929</v>
      </c>
      <c r="I282" s="16">
        <v>33519</v>
      </c>
      <c r="K282" s="16">
        <v>0</v>
      </c>
      <c r="M282" s="16">
        <v>0</v>
      </c>
      <c r="O282" s="16">
        <v>1426</v>
      </c>
      <c r="Q282" s="16">
        <v>246</v>
      </c>
      <c r="S282" s="16">
        <v>80743</v>
      </c>
      <c r="U282" s="16">
        <v>0</v>
      </c>
      <c r="W282" s="16">
        <v>0</v>
      </c>
      <c r="Y282" s="16">
        <v>0</v>
      </c>
      <c r="AA282" s="16">
        <v>9495</v>
      </c>
      <c r="AC282" s="16">
        <v>5809</v>
      </c>
      <c r="AE282" s="32">
        <f t="shared" si="4"/>
        <v>195108</v>
      </c>
    </row>
    <row r="283" spans="1:31" ht="12.75" customHeight="1">
      <c r="A283" s="1" t="s">
        <v>614</v>
      </c>
      <c r="C283" s="1" t="s">
        <v>231</v>
      </c>
      <c r="E283" s="16">
        <v>165666</v>
      </c>
      <c r="G283" s="16">
        <v>893524</v>
      </c>
      <c r="I283" s="16">
        <v>172356</v>
      </c>
      <c r="K283" s="16">
        <v>0</v>
      </c>
      <c r="M283" s="16">
        <v>12553</v>
      </c>
      <c r="O283" s="16">
        <v>204133</v>
      </c>
      <c r="Q283" s="16">
        <v>43745</v>
      </c>
      <c r="S283" s="16">
        <v>60332</v>
      </c>
      <c r="U283" s="16">
        <v>0</v>
      </c>
      <c r="W283" s="16">
        <v>0</v>
      </c>
      <c r="Y283" s="16">
        <v>308</v>
      </c>
      <c r="AA283" s="16">
        <v>0</v>
      </c>
      <c r="AC283" s="16">
        <v>800</v>
      </c>
      <c r="AE283" s="32">
        <f t="shared" si="4"/>
        <v>1553417</v>
      </c>
    </row>
    <row r="284" spans="1:31" ht="12.75" customHeight="1">
      <c r="A284" s="1" t="s">
        <v>259</v>
      </c>
      <c r="C284" s="1" t="s">
        <v>179</v>
      </c>
      <c r="D284" s="16"/>
      <c r="E284" s="16">
        <v>23011</v>
      </c>
      <c r="G284" s="16">
        <v>0</v>
      </c>
      <c r="I284" s="16">
        <v>25124</v>
      </c>
      <c r="K284" s="16">
        <v>0</v>
      </c>
      <c r="M284" s="16">
        <v>385</v>
      </c>
      <c r="O284" s="16">
        <v>32</v>
      </c>
      <c r="Q284" s="16">
        <v>7222</v>
      </c>
      <c r="S284" s="16">
        <v>21575</v>
      </c>
      <c r="U284" s="16">
        <v>0</v>
      </c>
      <c r="W284" s="16">
        <v>0</v>
      </c>
      <c r="Y284" s="16">
        <v>0</v>
      </c>
      <c r="AA284" s="16">
        <v>0</v>
      </c>
      <c r="AC284" s="16">
        <v>0</v>
      </c>
      <c r="AE284" s="32">
        <f t="shared" si="4"/>
        <v>77349</v>
      </c>
    </row>
    <row r="285" spans="1:31" ht="12.75" customHeight="1">
      <c r="A285" s="1" t="s">
        <v>706</v>
      </c>
      <c r="C285" s="1" t="s">
        <v>110</v>
      </c>
      <c r="E285" s="16">
        <v>54014</v>
      </c>
      <c r="G285" s="16">
        <v>141354</v>
      </c>
      <c r="I285" s="16">
        <v>66949</v>
      </c>
      <c r="K285" s="16">
        <v>13720</v>
      </c>
      <c r="M285" s="16">
        <v>55125</v>
      </c>
      <c r="O285" s="16">
        <v>9300</v>
      </c>
      <c r="Q285" s="16">
        <v>17948</v>
      </c>
      <c r="S285" s="16">
        <v>9745</v>
      </c>
      <c r="U285" s="16">
        <v>0</v>
      </c>
      <c r="W285" s="16">
        <v>0</v>
      </c>
      <c r="Y285" s="16">
        <v>2627</v>
      </c>
      <c r="AA285" s="16">
        <v>1000</v>
      </c>
      <c r="AC285" s="16">
        <v>0</v>
      </c>
      <c r="AE285" s="32">
        <f t="shared" si="4"/>
        <v>371782</v>
      </c>
    </row>
    <row r="286" spans="1:31" ht="12.75" customHeight="1">
      <c r="A286" s="1" t="s">
        <v>260</v>
      </c>
      <c r="C286" s="1" t="s">
        <v>261</v>
      </c>
      <c r="D286" s="1"/>
      <c r="E286" s="16">
        <v>370213</v>
      </c>
      <c r="G286" s="16">
        <v>0</v>
      </c>
      <c r="I286" s="16">
        <v>131172</v>
      </c>
      <c r="K286" s="16">
        <v>0</v>
      </c>
      <c r="M286" s="16">
        <v>1750</v>
      </c>
      <c r="O286" s="16">
        <v>71921</v>
      </c>
      <c r="Q286" s="16">
        <v>10573</v>
      </c>
      <c r="S286" s="16">
        <v>22881</v>
      </c>
      <c r="U286" s="16">
        <v>0</v>
      </c>
      <c r="W286" s="16">
        <v>0</v>
      </c>
      <c r="Y286" s="16">
        <v>0</v>
      </c>
      <c r="AA286" s="16">
        <v>0</v>
      </c>
      <c r="AC286" s="16">
        <v>0</v>
      </c>
      <c r="AE286" s="32">
        <f t="shared" si="4"/>
        <v>608510</v>
      </c>
    </row>
    <row r="287" spans="1:31" ht="12.75" customHeight="1">
      <c r="A287" s="1" t="s">
        <v>262</v>
      </c>
      <c r="C287" s="1" t="s">
        <v>131</v>
      </c>
      <c r="D287" s="16"/>
      <c r="E287" s="16">
        <v>7129</v>
      </c>
      <c r="G287" s="16">
        <v>0</v>
      </c>
      <c r="I287" s="16">
        <v>14387</v>
      </c>
      <c r="K287" s="16">
        <v>0</v>
      </c>
      <c r="M287" s="16">
        <v>0</v>
      </c>
      <c r="O287" s="16">
        <v>683</v>
      </c>
      <c r="Q287" s="16">
        <v>192</v>
      </c>
      <c r="S287" s="16">
        <v>8448</v>
      </c>
      <c r="U287" s="16">
        <v>0</v>
      </c>
      <c r="W287" s="16">
        <v>0</v>
      </c>
      <c r="Y287" s="16">
        <v>0</v>
      </c>
      <c r="AA287" s="16">
        <v>0</v>
      </c>
      <c r="AC287" s="16">
        <v>30</v>
      </c>
      <c r="AE287" s="32">
        <f t="shared" si="4"/>
        <v>30869</v>
      </c>
    </row>
    <row r="288" spans="1:31" ht="12.75" customHeight="1">
      <c r="A288" s="1" t="s">
        <v>263</v>
      </c>
      <c r="C288" s="1" t="s">
        <v>221</v>
      </c>
      <c r="D288" s="1"/>
      <c r="E288" s="16">
        <v>71765</v>
      </c>
      <c r="G288" s="16">
        <v>0</v>
      </c>
      <c r="I288" s="16">
        <v>26159</v>
      </c>
      <c r="K288" s="16">
        <v>0</v>
      </c>
      <c r="M288" s="16">
        <v>4339</v>
      </c>
      <c r="O288" s="16">
        <v>311</v>
      </c>
      <c r="Q288" s="16">
        <v>4380</v>
      </c>
      <c r="S288" s="16">
        <v>11731</v>
      </c>
      <c r="U288" s="16">
        <v>0</v>
      </c>
      <c r="W288" s="16">
        <v>0</v>
      </c>
      <c r="Y288" s="16">
        <v>1918</v>
      </c>
      <c r="AA288" s="16">
        <v>0</v>
      </c>
      <c r="AC288" s="16">
        <v>0</v>
      </c>
      <c r="AE288" s="32">
        <f t="shared" si="4"/>
        <v>120603</v>
      </c>
    </row>
    <row r="289" spans="1:31" ht="12.75" customHeight="1">
      <c r="A289" s="1" t="s">
        <v>264</v>
      </c>
      <c r="C289" s="1" t="s">
        <v>199</v>
      </c>
      <c r="D289" s="16"/>
      <c r="E289" s="16">
        <v>10606</v>
      </c>
      <c r="G289" s="16">
        <v>0</v>
      </c>
      <c r="I289" s="16">
        <v>0</v>
      </c>
      <c r="K289" s="16">
        <v>0</v>
      </c>
      <c r="M289" s="16">
        <v>0</v>
      </c>
      <c r="O289" s="16">
        <v>0</v>
      </c>
      <c r="Q289" s="16">
        <v>68</v>
      </c>
      <c r="S289" s="16">
        <v>0</v>
      </c>
      <c r="U289" s="16">
        <v>0</v>
      </c>
      <c r="W289" s="16">
        <v>64656</v>
      </c>
      <c r="Y289" s="16">
        <v>0</v>
      </c>
      <c r="AA289" s="16">
        <v>0</v>
      </c>
      <c r="AC289" s="16">
        <v>0</v>
      </c>
      <c r="AE289" s="32">
        <f t="shared" si="4"/>
        <v>75330</v>
      </c>
    </row>
    <row r="290" spans="1:31" ht="12.75" customHeight="1">
      <c r="A290" s="1" t="s">
        <v>716</v>
      </c>
      <c r="C290" s="1" t="s">
        <v>712</v>
      </c>
      <c r="E290" s="16">
        <v>11907</v>
      </c>
      <c r="G290" s="16">
        <v>0</v>
      </c>
      <c r="I290" s="16">
        <v>77609</v>
      </c>
      <c r="K290" s="16">
        <v>0</v>
      </c>
      <c r="M290" s="16">
        <v>0</v>
      </c>
      <c r="O290" s="16">
        <v>450</v>
      </c>
      <c r="Q290" s="16">
        <v>17946</v>
      </c>
      <c r="S290" s="16">
        <v>6828</v>
      </c>
      <c r="U290" s="16">
        <v>0</v>
      </c>
      <c r="W290" s="16">
        <v>0</v>
      </c>
      <c r="Y290" s="16">
        <v>0</v>
      </c>
      <c r="AA290" s="16">
        <v>0</v>
      </c>
      <c r="AC290" s="16">
        <v>0</v>
      </c>
      <c r="AE290" s="32">
        <f t="shared" si="4"/>
        <v>114740</v>
      </c>
    </row>
    <row r="291" spans="1:31" ht="12.75" customHeight="1">
      <c r="A291" s="1" t="s">
        <v>623</v>
      </c>
      <c r="C291" s="1" t="s">
        <v>228</v>
      </c>
      <c r="E291" s="16">
        <v>14520</v>
      </c>
      <c r="G291" s="16">
        <v>0</v>
      </c>
      <c r="I291" s="16">
        <v>22058</v>
      </c>
      <c r="K291" s="16">
        <v>0</v>
      </c>
      <c r="M291" s="16">
        <v>9695</v>
      </c>
      <c r="O291" s="16">
        <v>10401</v>
      </c>
      <c r="Q291" s="16">
        <v>0</v>
      </c>
      <c r="S291" s="16">
        <v>0</v>
      </c>
      <c r="U291" s="16">
        <v>0</v>
      </c>
      <c r="W291" s="16">
        <v>0</v>
      </c>
      <c r="Y291" s="16">
        <v>0</v>
      </c>
      <c r="AA291" s="16">
        <v>0</v>
      </c>
      <c r="AC291" s="16">
        <v>0</v>
      </c>
      <c r="AE291" s="32">
        <f t="shared" si="4"/>
        <v>56674</v>
      </c>
    </row>
    <row r="292" spans="1:31" ht="12.75" customHeight="1">
      <c r="A292" s="1" t="s">
        <v>780</v>
      </c>
      <c r="C292" s="1" t="s">
        <v>151</v>
      </c>
      <c r="E292" s="16">
        <v>745</v>
      </c>
      <c r="G292" s="16">
        <v>13384</v>
      </c>
      <c r="I292" s="16">
        <v>4746</v>
      </c>
      <c r="K292" s="16">
        <v>0</v>
      </c>
      <c r="M292" s="16">
        <v>0</v>
      </c>
      <c r="O292" s="16">
        <v>0</v>
      </c>
      <c r="Q292" s="16">
        <v>817</v>
      </c>
      <c r="S292" s="16">
        <v>0</v>
      </c>
      <c r="U292" s="16">
        <v>0</v>
      </c>
      <c r="W292" s="16">
        <v>0</v>
      </c>
      <c r="Y292" s="16">
        <v>0</v>
      </c>
      <c r="AA292" s="16">
        <v>0</v>
      </c>
      <c r="AC292" s="16">
        <v>0</v>
      </c>
      <c r="AE292" s="32">
        <f t="shared" si="4"/>
        <v>19692</v>
      </c>
    </row>
    <row r="293" spans="1:31" ht="12.75" customHeight="1">
      <c r="A293" s="1" t="s">
        <v>615</v>
      </c>
      <c r="C293" s="1" t="s">
        <v>231</v>
      </c>
      <c r="E293" s="16">
        <v>33976</v>
      </c>
      <c r="G293" s="16">
        <v>0</v>
      </c>
      <c r="I293" s="16">
        <v>39374</v>
      </c>
      <c r="K293" s="16">
        <v>0</v>
      </c>
      <c r="M293" s="16">
        <v>0</v>
      </c>
      <c r="O293" s="16">
        <v>150152</v>
      </c>
      <c r="Q293" s="16">
        <v>2873</v>
      </c>
      <c r="S293" s="16">
        <v>226815</v>
      </c>
      <c r="U293" s="16">
        <v>0</v>
      </c>
      <c r="W293" s="16">
        <v>0</v>
      </c>
      <c r="Y293" s="16">
        <v>0</v>
      </c>
      <c r="AA293" s="16">
        <v>0</v>
      </c>
      <c r="AC293" s="16">
        <v>0</v>
      </c>
      <c r="AE293" s="32">
        <f t="shared" si="4"/>
        <v>453190</v>
      </c>
    </row>
    <row r="294" spans="1:31" ht="12.75" customHeight="1">
      <c r="A294" s="1" t="s">
        <v>265</v>
      </c>
      <c r="C294" s="1" t="s">
        <v>197</v>
      </c>
      <c r="D294" s="16"/>
      <c r="E294" s="16">
        <v>719309</v>
      </c>
      <c r="G294" s="16">
        <v>0</v>
      </c>
      <c r="I294" s="16">
        <v>337032</v>
      </c>
      <c r="K294" s="16">
        <v>0</v>
      </c>
      <c r="M294" s="16">
        <v>13517</v>
      </c>
      <c r="O294" s="16">
        <v>103727</v>
      </c>
      <c r="Q294" s="16">
        <v>522347</v>
      </c>
      <c r="S294" s="16">
        <v>47416</v>
      </c>
      <c r="U294" s="16">
        <v>0</v>
      </c>
      <c r="W294" s="16">
        <v>3400</v>
      </c>
      <c r="Y294" s="16">
        <v>0</v>
      </c>
      <c r="AA294" s="16">
        <v>0</v>
      </c>
      <c r="AC294" s="16">
        <v>0</v>
      </c>
      <c r="AE294" s="32">
        <f t="shared" si="4"/>
        <v>1746748</v>
      </c>
    </row>
    <row r="295" spans="1:31" ht="12.75" customHeight="1">
      <c r="A295" s="1" t="s">
        <v>450</v>
      </c>
      <c r="C295" s="1" t="s">
        <v>447</v>
      </c>
      <c r="E295" s="16">
        <v>29898</v>
      </c>
      <c r="G295" s="16">
        <v>0</v>
      </c>
      <c r="I295" s="16">
        <v>21612</v>
      </c>
      <c r="K295" s="16">
        <v>0</v>
      </c>
      <c r="M295" s="16">
        <v>0</v>
      </c>
      <c r="O295" s="16">
        <v>0</v>
      </c>
      <c r="Q295" s="16">
        <v>312</v>
      </c>
      <c r="S295" s="16">
        <v>2276</v>
      </c>
      <c r="U295" s="16">
        <v>0</v>
      </c>
      <c r="W295" s="16">
        <v>0</v>
      </c>
      <c r="Y295" s="16">
        <v>0</v>
      </c>
      <c r="AA295" s="16">
        <v>0</v>
      </c>
      <c r="AC295" s="16">
        <v>251</v>
      </c>
      <c r="AE295" s="32">
        <f t="shared" si="4"/>
        <v>54349</v>
      </c>
    </row>
    <row r="296" spans="1:31" ht="12.75" customHeight="1">
      <c r="A296" s="1" t="s">
        <v>624</v>
      </c>
      <c r="C296" s="1" t="s">
        <v>228</v>
      </c>
      <c r="E296" s="16">
        <v>164856</v>
      </c>
      <c r="G296" s="16">
        <v>384283</v>
      </c>
      <c r="I296" s="16">
        <v>111438</v>
      </c>
      <c r="K296" s="16">
        <v>0</v>
      </c>
      <c r="M296" s="16">
        <v>79350</v>
      </c>
      <c r="O296" s="16">
        <v>132551</v>
      </c>
      <c r="Q296" s="16">
        <v>28790</v>
      </c>
      <c r="S296" s="16">
        <v>22292</v>
      </c>
      <c r="U296" s="16">
        <v>0</v>
      </c>
      <c r="W296" s="16">
        <v>1500</v>
      </c>
      <c r="Y296" s="16">
        <v>0</v>
      </c>
      <c r="AA296" s="16">
        <v>0</v>
      </c>
      <c r="AC296" s="16">
        <v>0</v>
      </c>
      <c r="AE296" s="32">
        <f t="shared" si="4"/>
        <v>925060</v>
      </c>
    </row>
    <row r="297" spans="1:31" ht="12.75" customHeight="1">
      <c r="A297" s="1" t="s">
        <v>266</v>
      </c>
      <c r="C297" s="1" t="s">
        <v>197</v>
      </c>
      <c r="D297" s="16"/>
      <c r="E297" s="16">
        <v>15522</v>
      </c>
      <c r="G297" s="16">
        <v>0</v>
      </c>
      <c r="I297" s="16">
        <v>34824</v>
      </c>
      <c r="K297" s="16">
        <v>0</v>
      </c>
      <c r="M297" s="16">
        <v>0</v>
      </c>
      <c r="O297" s="16">
        <v>1067</v>
      </c>
      <c r="Q297" s="16">
        <v>2704</v>
      </c>
      <c r="S297" s="16">
        <v>1771</v>
      </c>
      <c r="U297" s="16">
        <v>0</v>
      </c>
      <c r="W297" s="16">
        <v>0</v>
      </c>
      <c r="Y297" s="16">
        <v>0</v>
      </c>
      <c r="AA297" s="16">
        <v>0</v>
      </c>
      <c r="AC297" s="16">
        <v>0</v>
      </c>
      <c r="AE297" s="32">
        <f t="shared" si="4"/>
        <v>55888</v>
      </c>
    </row>
    <row r="298" spans="1:31" ht="12.75" customHeight="1">
      <c r="A298" s="1" t="s">
        <v>619</v>
      </c>
      <c r="C298" s="1" t="s">
        <v>369</v>
      </c>
      <c r="E298" s="16">
        <v>28174</v>
      </c>
      <c r="G298" s="16">
        <v>0</v>
      </c>
      <c r="I298" s="16">
        <v>55487</v>
      </c>
      <c r="K298" s="16">
        <v>0</v>
      </c>
      <c r="M298" s="16">
        <v>105932</v>
      </c>
      <c r="O298" s="16">
        <v>18297</v>
      </c>
      <c r="Q298" s="16">
        <v>23018</v>
      </c>
      <c r="S298" s="16">
        <v>35919</v>
      </c>
      <c r="U298" s="16">
        <v>0</v>
      </c>
      <c r="W298" s="16">
        <v>0</v>
      </c>
      <c r="Y298" s="16">
        <v>0</v>
      </c>
      <c r="AA298" s="16">
        <v>0</v>
      </c>
      <c r="AC298" s="16">
        <v>0</v>
      </c>
      <c r="AE298" s="32">
        <f t="shared" si="4"/>
        <v>266827</v>
      </c>
    </row>
    <row r="299" spans="1:31" ht="12.75" customHeight="1">
      <c r="A299" s="1" t="s">
        <v>267</v>
      </c>
      <c r="C299" s="1" t="s">
        <v>268</v>
      </c>
      <c r="D299" s="1"/>
      <c r="E299" s="16">
        <v>44398</v>
      </c>
      <c r="G299" s="16">
        <v>0</v>
      </c>
      <c r="I299" s="16">
        <v>37914</v>
      </c>
      <c r="K299" s="16">
        <v>0</v>
      </c>
      <c r="M299" s="16">
        <v>12294</v>
      </c>
      <c r="O299" s="16">
        <v>4807</v>
      </c>
      <c r="Q299" s="16">
        <v>9370</v>
      </c>
      <c r="S299" s="16">
        <v>4306</v>
      </c>
      <c r="U299" s="16">
        <v>0</v>
      </c>
      <c r="W299" s="16">
        <v>0</v>
      </c>
      <c r="Y299" s="16">
        <v>0</v>
      </c>
      <c r="AA299" s="16">
        <v>0</v>
      </c>
      <c r="AC299" s="16">
        <v>0</v>
      </c>
      <c r="AE299" s="32">
        <f t="shared" si="4"/>
        <v>113089</v>
      </c>
    </row>
    <row r="300" spans="1:31" ht="12.75" customHeight="1">
      <c r="A300" s="1" t="s">
        <v>680</v>
      </c>
      <c r="C300" s="1" t="s">
        <v>82</v>
      </c>
      <c r="E300" s="16">
        <v>24686</v>
      </c>
      <c r="G300" s="16">
        <v>0</v>
      </c>
      <c r="I300" s="16">
        <v>22001</v>
      </c>
      <c r="K300" s="16">
        <v>0</v>
      </c>
      <c r="M300" s="16">
        <v>0</v>
      </c>
      <c r="O300" s="16">
        <v>0</v>
      </c>
      <c r="Q300" s="16">
        <v>366</v>
      </c>
      <c r="S300" s="16">
        <v>1021</v>
      </c>
      <c r="U300" s="16">
        <v>0</v>
      </c>
      <c r="W300" s="16">
        <v>0</v>
      </c>
      <c r="Y300" s="16">
        <v>0</v>
      </c>
      <c r="AA300" s="16">
        <v>8001</v>
      </c>
      <c r="AC300" s="16">
        <v>0</v>
      </c>
      <c r="AE300" s="32">
        <f t="shared" si="4"/>
        <v>56075</v>
      </c>
    </row>
    <row r="301" spans="1:31" ht="12.75" customHeight="1">
      <c r="A301" s="1" t="s">
        <v>655</v>
      </c>
      <c r="C301" s="1" t="s">
        <v>155</v>
      </c>
      <c r="E301" s="16">
        <v>16219</v>
      </c>
      <c r="G301" s="16">
        <v>0</v>
      </c>
      <c r="I301" s="16">
        <v>29723</v>
      </c>
      <c r="K301" s="16">
        <v>0</v>
      </c>
      <c r="M301" s="16">
        <v>0</v>
      </c>
      <c r="O301" s="16">
        <v>1900</v>
      </c>
      <c r="Q301" s="16">
        <v>0</v>
      </c>
      <c r="S301" s="16">
        <v>7001</v>
      </c>
      <c r="U301" s="16">
        <v>0</v>
      </c>
      <c r="W301" s="16">
        <v>0</v>
      </c>
      <c r="Y301" s="16">
        <v>0</v>
      </c>
      <c r="AA301" s="16">
        <v>0</v>
      </c>
      <c r="AC301" s="16">
        <v>0</v>
      </c>
      <c r="AE301" s="32">
        <f t="shared" si="4"/>
        <v>54843</v>
      </c>
    </row>
    <row r="302" spans="1:31" ht="12.75" customHeight="1">
      <c r="A302" s="1" t="s">
        <v>590</v>
      </c>
      <c r="C302" s="1" t="s">
        <v>591</v>
      </c>
      <c r="E302" s="16">
        <v>44748</v>
      </c>
      <c r="G302" s="16">
        <v>0</v>
      </c>
      <c r="I302" s="16">
        <v>20643</v>
      </c>
      <c r="K302" s="16">
        <v>0</v>
      </c>
      <c r="M302" s="16">
        <v>130075</v>
      </c>
      <c r="O302" s="16">
        <v>13709</v>
      </c>
      <c r="Q302" s="16">
        <v>668</v>
      </c>
      <c r="S302" s="16">
        <v>8928</v>
      </c>
      <c r="U302" s="16">
        <v>0</v>
      </c>
      <c r="W302" s="16">
        <v>0</v>
      </c>
      <c r="Y302" s="16">
        <v>0</v>
      </c>
      <c r="AA302" s="16">
        <v>0</v>
      </c>
      <c r="AC302" s="16">
        <v>0</v>
      </c>
      <c r="AE302" s="32">
        <f t="shared" si="4"/>
        <v>218771</v>
      </c>
    </row>
    <row r="303" spans="1:31" ht="12.75" customHeight="1">
      <c r="A303" s="1" t="s">
        <v>269</v>
      </c>
      <c r="C303" s="1" t="s">
        <v>194</v>
      </c>
      <c r="D303" s="16"/>
      <c r="E303" s="16">
        <v>13953</v>
      </c>
      <c r="G303" s="16">
        <v>0</v>
      </c>
      <c r="I303" s="16">
        <v>5117</v>
      </c>
      <c r="K303" s="16">
        <v>0</v>
      </c>
      <c r="M303" s="16">
        <v>21740</v>
      </c>
      <c r="O303" s="16">
        <v>7292</v>
      </c>
      <c r="Q303" s="16">
        <v>42</v>
      </c>
      <c r="S303" s="16">
        <v>5125</v>
      </c>
      <c r="U303" s="16">
        <v>18500</v>
      </c>
      <c r="W303" s="16">
        <v>0</v>
      </c>
      <c r="Y303" s="16">
        <v>0</v>
      </c>
      <c r="AA303" s="16">
        <v>0</v>
      </c>
      <c r="AC303" s="16">
        <v>0</v>
      </c>
      <c r="AE303" s="32">
        <f t="shared" si="4"/>
        <v>71769</v>
      </c>
    </row>
    <row r="304" spans="1:31" ht="12.75" customHeight="1">
      <c r="A304" s="1" t="s">
        <v>588</v>
      </c>
      <c r="C304" s="1" t="s">
        <v>247</v>
      </c>
      <c r="E304" s="16">
        <v>100362</v>
      </c>
      <c r="G304" s="16">
        <v>193762</v>
      </c>
      <c r="I304" s="16">
        <v>64920</v>
      </c>
      <c r="K304" s="16">
        <v>0</v>
      </c>
      <c r="M304" s="16">
        <v>2741</v>
      </c>
      <c r="O304" s="16">
        <v>2295</v>
      </c>
      <c r="Q304" s="16">
        <v>743</v>
      </c>
      <c r="S304" s="16">
        <v>5084</v>
      </c>
      <c r="U304" s="16">
        <v>0</v>
      </c>
      <c r="W304" s="16">
        <v>0</v>
      </c>
      <c r="Y304" s="16">
        <v>0</v>
      </c>
      <c r="AA304" s="16">
        <v>0</v>
      </c>
      <c r="AC304" s="16">
        <v>0</v>
      </c>
      <c r="AE304" s="32">
        <f t="shared" si="4"/>
        <v>369907</v>
      </c>
    </row>
    <row r="305" spans="1:31" ht="12.75" customHeight="1">
      <c r="A305" s="1" t="s">
        <v>482</v>
      </c>
      <c r="C305" s="1" t="s">
        <v>153</v>
      </c>
      <c r="E305" s="16">
        <v>3828</v>
      </c>
      <c r="G305" s="16">
        <v>0</v>
      </c>
      <c r="I305" s="16">
        <v>19702</v>
      </c>
      <c r="K305" s="16">
        <v>0</v>
      </c>
      <c r="M305" s="16">
        <v>0</v>
      </c>
      <c r="O305" s="16">
        <v>0</v>
      </c>
      <c r="Q305" s="16">
        <v>125</v>
      </c>
      <c r="S305" s="16">
        <v>0</v>
      </c>
      <c r="U305" s="16">
        <v>0</v>
      </c>
      <c r="W305" s="16">
        <v>0</v>
      </c>
      <c r="Y305" s="16">
        <v>0</v>
      </c>
      <c r="AA305" s="16">
        <v>0</v>
      </c>
      <c r="AC305" s="16">
        <v>0</v>
      </c>
      <c r="AE305" s="32">
        <f t="shared" si="4"/>
        <v>23655</v>
      </c>
    </row>
    <row r="306" spans="1:31" ht="12.75" customHeight="1">
      <c r="A306" s="1" t="s">
        <v>505</v>
      </c>
      <c r="C306" s="1" t="s">
        <v>414</v>
      </c>
      <c r="E306" s="16">
        <v>42217</v>
      </c>
      <c r="G306" s="16">
        <v>0</v>
      </c>
      <c r="I306" s="16">
        <v>70144</v>
      </c>
      <c r="K306" s="16">
        <v>0</v>
      </c>
      <c r="M306" s="16">
        <v>53014</v>
      </c>
      <c r="O306" s="16">
        <v>34585</v>
      </c>
      <c r="Q306" s="16">
        <v>5903</v>
      </c>
      <c r="S306" s="16">
        <v>4815</v>
      </c>
      <c r="U306" s="16">
        <v>0</v>
      </c>
      <c r="W306" s="16">
        <v>625</v>
      </c>
      <c r="Y306" s="16">
        <v>260728</v>
      </c>
      <c r="AA306" s="16">
        <v>0</v>
      </c>
      <c r="AC306" s="16">
        <v>0</v>
      </c>
      <c r="AE306" s="32">
        <f t="shared" si="4"/>
        <v>472031</v>
      </c>
    </row>
    <row r="307" spans="1:31" ht="12.75" customHeight="1">
      <c r="A307" s="1" t="s">
        <v>787</v>
      </c>
      <c r="C307" s="1" t="s">
        <v>110</v>
      </c>
      <c r="D307" s="16"/>
      <c r="E307" s="16">
        <v>179670</v>
      </c>
      <c r="G307" s="16">
        <v>2103480</v>
      </c>
      <c r="I307" s="16">
        <v>121472</v>
      </c>
      <c r="K307" s="16">
        <v>0</v>
      </c>
      <c r="M307" s="16">
        <v>24752</v>
      </c>
      <c r="O307" s="16">
        <v>10653</v>
      </c>
      <c r="Q307" s="16">
        <v>9139</v>
      </c>
      <c r="S307" s="16">
        <v>476727</v>
      </c>
      <c r="U307" s="16">
        <v>0</v>
      </c>
      <c r="W307" s="16">
        <v>1121</v>
      </c>
      <c r="Y307" s="16">
        <v>0</v>
      </c>
      <c r="AA307" s="16">
        <v>0</v>
      </c>
      <c r="AC307" s="16">
        <v>0</v>
      </c>
      <c r="AE307" s="32">
        <f t="shared" si="4"/>
        <v>2927014</v>
      </c>
    </row>
    <row r="308" spans="1:31" ht="12.75" customHeight="1">
      <c r="A308" s="1" t="s">
        <v>224</v>
      </c>
      <c r="C308" s="1" t="s">
        <v>225</v>
      </c>
      <c r="D308" s="16"/>
      <c r="E308" s="16">
        <v>133174</v>
      </c>
      <c r="G308" s="16">
        <v>207741</v>
      </c>
      <c r="I308" s="16">
        <v>102974</v>
      </c>
      <c r="K308" s="16">
        <v>0</v>
      </c>
      <c r="M308" s="16">
        <v>229657</v>
      </c>
      <c r="O308" s="16">
        <v>2855</v>
      </c>
      <c r="Q308" s="16">
        <v>13708</v>
      </c>
      <c r="S308" s="16">
        <v>0</v>
      </c>
      <c r="U308" s="16">
        <v>0</v>
      </c>
      <c r="W308" s="16">
        <v>0</v>
      </c>
      <c r="Y308" s="16">
        <v>136654</v>
      </c>
      <c r="AA308" s="16">
        <v>0</v>
      </c>
      <c r="AC308" s="16">
        <f>36312+6263</f>
        <v>42575</v>
      </c>
      <c r="AE308" s="32">
        <f t="shared" si="4"/>
        <v>869338</v>
      </c>
    </row>
    <row r="309" spans="1:31" ht="12.75" customHeight="1">
      <c r="A309" s="1" t="s">
        <v>660</v>
      </c>
      <c r="C309" s="1" t="s">
        <v>80</v>
      </c>
      <c r="E309" s="16">
        <v>11266</v>
      </c>
      <c r="G309" s="16">
        <v>0</v>
      </c>
      <c r="I309" s="16">
        <v>7551</v>
      </c>
      <c r="K309" s="16">
        <v>0</v>
      </c>
      <c r="M309" s="16">
        <v>0</v>
      </c>
      <c r="O309" s="16">
        <v>0</v>
      </c>
      <c r="Q309" s="16">
        <v>0</v>
      </c>
      <c r="S309" s="16">
        <v>0</v>
      </c>
      <c r="U309" s="16">
        <v>0</v>
      </c>
      <c r="W309" s="16">
        <v>0</v>
      </c>
      <c r="Y309" s="16">
        <v>0</v>
      </c>
      <c r="AA309" s="16">
        <v>0</v>
      </c>
      <c r="AC309" s="16">
        <v>0</v>
      </c>
      <c r="AE309" s="32">
        <f t="shared" si="4"/>
        <v>18817</v>
      </c>
    </row>
    <row r="310" spans="1:31" ht="12.75" customHeight="1">
      <c r="A310" s="1" t="s">
        <v>270</v>
      </c>
      <c r="C310" s="1" t="s">
        <v>147</v>
      </c>
      <c r="D310" s="16"/>
      <c r="E310" s="16">
        <v>269809</v>
      </c>
      <c r="G310" s="16">
        <v>1256498</v>
      </c>
      <c r="I310" s="16">
        <v>143473</v>
      </c>
      <c r="K310" s="16">
        <v>0</v>
      </c>
      <c r="M310" s="16">
        <v>1965</v>
      </c>
      <c r="O310" s="16">
        <v>66279</v>
      </c>
      <c r="Q310" s="16">
        <v>15478</v>
      </c>
      <c r="S310" s="16">
        <v>18407</v>
      </c>
      <c r="U310" s="16">
        <v>0</v>
      </c>
      <c r="W310" s="16">
        <v>1199</v>
      </c>
      <c r="Y310" s="16">
        <v>0</v>
      </c>
      <c r="AA310" s="16">
        <v>10500</v>
      </c>
      <c r="AC310" s="16">
        <v>0</v>
      </c>
      <c r="AE310" s="32">
        <f t="shared" si="4"/>
        <v>1783608</v>
      </c>
    </row>
    <row r="311" spans="1:31" ht="12.75" customHeight="1">
      <c r="A311" s="1" t="s">
        <v>585</v>
      </c>
      <c r="C311" s="1" t="s">
        <v>239</v>
      </c>
      <c r="E311" s="16">
        <v>28167</v>
      </c>
      <c r="G311" s="16">
        <v>123956</v>
      </c>
      <c r="I311" s="16">
        <v>46319</v>
      </c>
      <c r="K311" s="16">
        <v>0</v>
      </c>
      <c r="M311" s="16">
        <v>5960</v>
      </c>
      <c r="O311" s="16">
        <v>35</v>
      </c>
      <c r="Q311" s="16">
        <v>7306</v>
      </c>
      <c r="S311" s="16">
        <v>18063</v>
      </c>
      <c r="U311" s="16">
        <v>0</v>
      </c>
      <c r="W311" s="16">
        <v>0</v>
      </c>
      <c r="Y311" s="16">
        <v>0</v>
      </c>
      <c r="AA311" s="16">
        <v>0</v>
      </c>
      <c r="AC311" s="16">
        <v>0</v>
      </c>
      <c r="AE311" s="32">
        <f t="shared" si="4"/>
        <v>229806</v>
      </c>
    </row>
    <row r="312" spans="1:31" ht="12.75" customHeight="1">
      <c r="A312" s="1" t="s">
        <v>731</v>
      </c>
      <c r="C312" s="1" t="s">
        <v>106</v>
      </c>
      <c r="E312" s="16">
        <v>19803</v>
      </c>
      <c r="G312" s="16">
        <v>0</v>
      </c>
      <c r="I312" s="16">
        <v>2794</v>
      </c>
      <c r="K312" s="16">
        <v>0</v>
      </c>
      <c r="M312" s="16">
        <v>2830</v>
      </c>
      <c r="O312" s="16">
        <v>319</v>
      </c>
      <c r="Q312" s="16">
        <v>72</v>
      </c>
      <c r="S312" s="16">
        <v>30</v>
      </c>
      <c r="U312" s="16">
        <v>0</v>
      </c>
      <c r="W312" s="16">
        <v>0</v>
      </c>
      <c r="Y312" s="16">
        <v>0</v>
      </c>
      <c r="AA312" s="16">
        <v>0</v>
      </c>
      <c r="AC312" s="16">
        <v>0</v>
      </c>
      <c r="AE312" s="32">
        <f t="shared" si="4"/>
        <v>25848</v>
      </c>
    </row>
    <row r="313" spans="1:31" ht="12.75" customHeight="1">
      <c r="A313" s="1" t="s">
        <v>271</v>
      </c>
      <c r="C313" s="1" t="s">
        <v>73</v>
      </c>
      <c r="D313" s="16"/>
      <c r="E313" s="16">
        <v>307642</v>
      </c>
      <c r="G313" s="16">
        <v>585106</v>
      </c>
      <c r="I313" s="16">
        <v>188323</v>
      </c>
      <c r="K313" s="16">
        <v>0</v>
      </c>
      <c r="M313" s="16">
        <v>179398</v>
      </c>
      <c r="O313" s="16">
        <v>22241</v>
      </c>
      <c r="Q313" s="16">
        <v>4533</v>
      </c>
      <c r="S313" s="16">
        <v>23923</v>
      </c>
      <c r="U313" s="16">
        <v>200000</v>
      </c>
      <c r="W313" s="16">
        <v>755018</v>
      </c>
      <c r="Y313" s="16">
        <v>0</v>
      </c>
      <c r="AA313" s="16">
        <v>0</v>
      </c>
      <c r="AC313" s="16">
        <v>0</v>
      </c>
      <c r="AE313" s="32">
        <f t="shared" si="4"/>
        <v>2266184</v>
      </c>
    </row>
    <row r="314" spans="1:31" ht="12.75" customHeight="1">
      <c r="A314" s="1" t="s">
        <v>719</v>
      </c>
      <c r="C314" s="1" t="s">
        <v>142</v>
      </c>
      <c r="E314" s="16">
        <v>40083</v>
      </c>
      <c r="G314" s="16">
        <v>0</v>
      </c>
      <c r="I314" s="16">
        <v>70486</v>
      </c>
      <c r="K314" s="16">
        <v>0</v>
      </c>
      <c r="M314" s="16">
        <v>0</v>
      </c>
      <c r="O314" s="16">
        <v>120</v>
      </c>
      <c r="Q314" s="16">
        <v>1546</v>
      </c>
      <c r="S314" s="16">
        <v>1392</v>
      </c>
      <c r="U314" s="16">
        <v>0</v>
      </c>
      <c r="W314" s="16">
        <v>0</v>
      </c>
      <c r="Y314" s="16">
        <v>0</v>
      </c>
      <c r="AA314" s="16">
        <v>0</v>
      </c>
      <c r="AC314" s="16">
        <v>0</v>
      </c>
      <c r="AE314" s="32">
        <f t="shared" si="4"/>
        <v>113627</v>
      </c>
    </row>
    <row r="315" spans="1:31" ht="12.75" customHeight="1">
      <c r="A315" s="1" t="s">
        <v>517</v>
      </c>
      <c r="C315" s="1" t="s">
        <v>112</v>
      </c>
      <c r="E315" s="16">
        <v>8341</v>
      </c>
      <c r="G315" s="16">
        <v>83413</v>
      </c>
      <c r="I315" s="16">
        <v>10828</v>
      </c>
      <c r="K315" s="16">
        <v>0</v>
      </c>
      <c r="M315" s="16">
        <v>8391</v>
      </c>
      <c r="O315" s="16">
        <v>687473</v>
      </c>
      <c r="Q315" s="16">
        <v>1023</v>
      </c>
      <c r="S315" s="16">
        <v>11364</v>
      </c>
      <c r="U315" s="16">
        <v>0</v>
      </c>
      <c r="W315" s="16">
        <v>0</v>
      </c>
      <c r="Y315" s="16">
        <v>0</v>
      </c>
      <c r="AA315" s="16">
        <v>3400</v>
      </c>
      <c r="AC315" s="16">
        <v>0</v>
      </c>
      <c r="AE315" s="32">
        <f t="shared" si="4"/>
        <v>814233</v>
      </c>
    </row>
    <row r="316" spans="1:31" ht="12.75" customHeight="1">
      <c r="A316" s="1" t="s">
        <v>506</v>
      </c>
      <c r="C316" s="1" t="s">
        <v>414</v>
      </c>
      <c r="E316" s="16">
        <v>26414</v>
      </c>
      <c r="G316" s="16">
        <v>0</v>
      </c>
      <c r="I316" s="16">
        <v>205754</v>
      </c>
      <c r="K316" s="16">
        <v>0</v>
      </c>
      <c r="M316" s="16">
        <v>26241</v>
      </c>
      <c r="O316" s="16">
        <v>23704</v>
      </c>
      <c r="Q316" s="16">
        <v>0</v>
      </c>
      <c r="S316" s="16">
        <v>4198</v>
      </c>
      <c r="U316" s="16">
        <v>0</v>
      </c>
      <c r="W316" s="16">
        <v>0</v>
      </c>
      <c r="Y316" s="16">
        <v>448000</v>
      </c>
      <c r="AA316" s="16">
        <v>0</v>
      </c>
      <c r="AC316" s="16">
        <v>67072</v>
      </c>
      <c r="AE316" s="32">
        <f t="shared" si="4"/>
        <v>801383</v>
      </c>
    </row>
    <row r="317" spans="1:31" ht="12.75" customHeight="1">
      <c r="A317" s="1" t="s">
        <v>543</v>
      </c>
      <c r="C317" s="1" t="s">
        <v>149</v>
      </c>
      <c r="E317" s="16">
        <v>14148</v>
      </c>
      <c r="G317" s="16">
        <v>0</v>
      </c>
      <c r="I317" s="16">
        <v>52750</v>
      </c>
      <c r="K317" s="16">
        <v>0</v>
      </c>
      <c r="M317" s="16">
        <v>0</v>
      </c>
      <c r="O317" s="16">
        <v>2008</v>
      </c>
      <c r="Q317" s="16">
        <v>3614</v>
      </c>
      <c r="S317" s="16">
        <v>0</v>
      </c>
      <c r="U317" s="16">
        <v>0</v>
      </c>
      <c r="W317" s="16">
        <v>0</v>
      </c>
      <c r="Y317" s="16">
        <v>0</v>
      </c>
      <c r="AA317" s="16">
        <v>0</v>
      </c>
      <c r="AC317" s="16">
        <v>0</v>
      </c>
      <c r="AE317" s="32">
        <f t="shared" si="4"/>
        <v>72520</v>
      </c>
    </row>
    <row r="318" spans="1:31" ht="12.75" customHeight="1">
      <c r="A318" s="1" t="s">
        <v>272</v>
      </c>
      <c r="C318" s="1" t="s">
        <v>131</v>
      </c>
      <c r="D318" s="16"/>
      <c r="E318" s="16">
        <v>2064</v>
      </c>
      <c r="G318" s="16">
        <v>0</v>
      </c>
      <c r="I318" s="16">
        <v>16627</v>
      </c>
      <c r="K318" s="16">
        <v>0</v>
      </c>
      <c r="M318" s="16">
        <v>0</v>
      </c>
      <c r="O318" s="16">
        <v>299</v>
      </c>
      <c r="Q318" s="16">
        <v>114</v>
      </c>
      <c r="S318" s="16">
        <v>0</v>
      </c>
      <c r="U318" s="16">
        <v>0</v>
      </c>
      <c r="W318" s="16">
        <v>0</v>
      </c>
      <c r="Y318" s="16">
        <v>0</v>
      </c>
      <c r="AA318" s="16">
        <v>0</v>
      </c>
      <c r="AC318" s="16">
        <v>0</v>
      </c>
      <c r="AE318" s="32">
        <f t="shared" si="4"/>
        <v>19104</v>
      </c>
    </row>
    <row r="319" spans="1:31" ht="12.75" customHeight="1">
      <c r="A319" s="1" t="s">
        <v>568</v>
      </c>
      <c r="C319" s="1" t="s">
        <v>73</v>
      </c>
      <c r="E319" s="16">
        <v>304054</v>
      </c>
      <c r="G319" s="16">
        <v>1505409</v>
      </c>
      <c r="I319" s="16">
        <v>116655</v>
      </c>
      <c r="K319" s="16">
        <v>0</v>
      </c>
      <c r="M319" s="16">
        <v>247164</v>
      </c>
      <c r="O319" s="16">
        <v>262568</v>
      </c>
      <c r="Q319" s="16">
        <v>826</v>
      </c>
      <c r="S319" s="16">
        <v>29366</v>
      </c>
      <c r="U319" s="16">
        <v>0</v>
      </c>
      <c r="W319" s="16">
        <v>0</v>
      </c>
      <c r="Y319" s="16">
        <v>0</v>
      </c>
      <c r="AA319" s="16">
        <v>0</v>
      </c>
      <c r="AC319" s="16">
        <v>0</v>
      </c>
      <c r="AE319" s="32">
        <f t="shared" si="4"/>
        <v>2466042</v>
      </c>
    </row>
    <row r="320" spans="1:31" ht="12.75" customHeight="1">
      <c r="A320" s="1" t="s">
        <v>273</v>
      </c>
      <c r="C320" s="1" t="s">
        <v>274</v>
      </c>
      <c r="D320" s="1"/>
      <c r="E320" s="16">
        <v>343327</v>
      </c>
      <c r="G320" s="16">
        <v>0</v>
      </c>
      <c r="I320" s="16">
        <v>223000</v>
      </c>
      <c r="K320" s="16">
        <v>0</v>
      </c>
      <c r="M320" s="16">
        <v>203859</v>
      </c>
      <c r="O320" s="16">
        <v>11286</v>
      </c>
      <c r="Q320" s="16">
        <v>32321</v>
      </c>
      <c r="S320" s="16">
        <v>0</v>
      </c>
      <c r="U320" s="16">
        <v>0</v>
      </c>
      <c r="W320" s="16">
        <v>0</v>
      </c>
      <c r="Y320" s="16">
        <v>0</v>
      </c>
      <c r="AA320" s="16">
        <v>0</v>
      </c>
      <c r="AC320" s="16">
        <v>9207</v>
      </c>
      <c r="AE320" s="32">
        <f t="shared" si="4"/>
        <v>823000</v>
      </c>
    </row>
    <row r="321" spans="1:31" ht="12.75" customHeight="1">
      <c r="A321" s="1" t="s">
        <v>275</v>
      </c>
      <c r="C321" s="1" t="s">
        <v>276</v>
      </c>
      <c r="D321" s="16"/>
      <c r="E321" s="16">
        <v>180228</v>
      </c>
      <c r="G321" s="16">
        <v>0</v>
      </c>
      <c r="I321" s="16">
        <v>163378</v>
      </c>
      <c r="K321" s="16">
        <v>0</v>
      </c>
      <c r="M321" s="16">
        <v>112196</v>
      </c>
      <c r="O321" s="16">
        <v>67557</v>
      </c>
      <c r="Q321" s="16">
        <v>33293</v>
      </c>
      <c r="S321" s="16">
        <v>21219</v>
      </c>
      <c r="U321" s="16">
        <v>0</v>
      </c>
      <c r="W321" s="16">
        <v>0</v>
      </c>
      <c r="Y321" s="16">
        <v>1919151</v>
      </c>
      <c r="AA321" s="16">
        <v>0</v>
      </c>
      <c r="AC321" s="16">
        <v>0</v>
      </c>
      <c r="AE321" s="32">
        <f t="shared" si="4"/>
        <v>2497022</v>
      </c>
    </row>
    <row r="322" spans="1:31" ht="12.75" customHeight="1">
      <c r="A322" s="1" t="s">
        <v>559</v>
      </c>
      <c r="C322" s="1" t="s">
        <v>199</v>
      </c>
      <c r="E322" s="16">
        <v>5253</v>
      </c>
      <c r="G322" s="16">
        <v>0</v>
      </c>
      <c r="I322" s="16">
        <v>31426</v>
      </c>
      <c r="K322" s="16">
        <v>0</v>
      </c>
      <c r="M322" s="16">
        <v>0</v>
      </c>
      <c r="O322" s="16">
        <v>0</v>
      </c>
      <c r="Q322" s="16">
        <v>16</v>
      </c>
      <c r="S322" s="16">
        <v>7312</v>
      </c>
      <c r="U322" s="16">
        <v>0</v>
      </c>
      <c r="W322" s="16">
        <v>0</v>
      </c>
      <c r="Y322" s="16">
        <v>0</v>
      </c>
      <c r="AA322" s="16">
        <v>0</v>
      </c>
      <c r="AC322" s="16">
        <v>0</v>
      </c>
      <c r="AE322" s="32">
        <f t="shared" si="4"/>
        <v>44007</v>
      </c>
    </row>
    <row r="323" spans="1:31" ht="12.75" customHeight="1">
      <c r="A323" s="1" t="s">
        <v>757</v>
      </c>
      <c r="C323" s="1" t="s">
        <v>120</v>
      </c>
      <c r="E323" s="16">
        <v>11755</v>
      </c>
      <c r="G323" s="16">
        <v>0</v>
      </c>
      <c r="I323" s="16">
        <v>55413</v>
      </c>
      <c r="K323" s="16">
        <v>0</v>
      </c>
      <c r="M323" s="16">
        <v>0</v>
      </c>
      <c r="O323" s="16">
        <v>578</v>
      </c>
      <c r="Q323" s="16">
        <v>2568</v>
      </c>
      <c r="S323" s="16">
        <v>4761</v>
      </c>
      <c r="U323" s="16">
        <v>0</v>
      </c>
      <c r="W323" s="16">
        <v>0</v>
      </c>
      <c r="Y323" s="16">
        <v>265</v>
      </c>
      <c r="AA323" s="16">
        <v>0</v>
      </c>
      <c r="AC323" s="16">
        <v>28</v>
      </c>
      <c r="AE323" s="32">
        <f t="shared" si="4"/>
        <v>75368</v>
      </c>
    </row>
    <row r="324" spans="1:31" ht="12.75" customHeight="1">
      <c r="A324" s="1" t="s">
        <v>632</v>
      </c>
      <c r="C324" s="1" t="s">
        <v>378</v>
      </c>
      <c r="E324" s="16">
        <v>117112</v>
      </c>
      <c r="G324" s="16">
        <v>236117</v>
      </c>
      <c r="I324" s="16">
        <v>36626</v>
      </c>
      <c r="K324" s="16">
        <v>0</v>
      </c>
      <c r="M324" s="16">
        <v>53851</v>
      </c>
      <c r="O324" s="16">
        <v>24375</v>
      </c>
      <c r="Q324" s="16">
        <v>662</v>
      </c>
      <c r="S324" s="16">
        <v>0</v>
      </c>
      <c r="U324" s="16">
        <v>13477</v>
      </c>
      <c r="W324" s="16">
        <v>0</v>
      </c>
      <c r="Y324" s="16">
        <v>0</v>
      </c>
      <c r="AA324" s="16">
        <v>0</v>
      </c>
      <c r="AC324" s="16">
        <v>0</v>
      </c>
      <c r="AE324" s="32">
        <f t="shared" si="4"/>
        <v>482220</v>
      </c>
    </row>
    <row r="325" spans="1:31" ht="12.75" customHeight="1">
      <c r="A325" s="1" t="s">
        <v>758</v>
      </c>
      <c r="C325" s="1" t="s">
        <v>120</v>
      </c>
      <c r="E325" s="16">
        <v>1514</v>
      </c>
      <c r="G325" s="16">
        <v>0</v>
      </c>
      <c r="I325" s="16">
        <v>35712</v>
      </c>
      <c r="K325" s="16">
        <v>0</v>
      </c>
      <c r="M325" s="16">
        <v>2555</v>
      </c>
      <c r="O325" s="16">
        <v>0</v>
      </c>
      <c r="Q325" s="16">
        <v>64</v>
      </c>
      <c r="S325" s="16">
        <v>0</v>
      </c>
      <c r="U325" s="16">
        <v>0</v>
      </c>
      <c r="W325" s="16">
        <v>0</v>
      </c>
      <c r="Y325" s="16">
        <v>0</v>
      </c>
      <c r="AA325" s="16">
        <v>0</v>
      </c>
      <c r="AC325" s="16">
        <v>0</v>
      </c>
      <c r="AE325" s="32">
        <f t="shared" si="4"/>
        <v>39845</v>
      </c>
    </row>
    <row r="326" spans="1:31" ht="12.75" customHeight="1">
      <c r="A326" s="1" t="s">
        <v>250</v>
      </c>
      <c r="C326" s="1" t="s">
        <v>147</v>
      </c>
      <c r="D326" s="16"/>
      <c r="E326" s="16">
        <v>10257</v>
      </c>
      <c r="G326" s="16">
        <v>0</v>
      </c>
      <c r="I326" s="16">
        <v>58583</v>
      </c>
      <c r="K326" s="16">
        <v>0</v>
      </c>
      <c r="M326" s="16">
        <v>0</v>
      </c>
      <c r="O326" s="16">
        <v>3740</v>
      </c>
      <c r="Q326" s="16">
        <v>3946</v>
      </c>
      <c r="S326" s="16">
        <v>184</v>
      </c>
      <c r="U326" s="16">
        <v>0</v>
      </c>
      <c r="W326" s="16">
        <v>0</v>
      </c>
      <c r="Y326" s="16">
        <v>0</v>
      </c>
      <c r="AA326" s="16">
        <v>0</v>
      </c>
      <c r="AC326" s="16">
        <v>0</v>
      </c>
      <c r="AE326" s="32">
        <f t="shared" si="4"/>
        <v>76710</v>
      </c>
    </row>
    <row r="327" spans="1:31" ht="12.75" customHeight="1">
      <c r="A327" s="1" t="s">
        <v>277</v>
      </c>
      <c r="C327" s="1" t="s">
        <v>94</v>
      </c>
      <c r="D327" s="16"/>
      <c r="E327" s="16">
        <v>49598</v>
      </c>
      <c r="G327" s="16">
        <v>148686</v>
      </c>
      <c r="I327" s="16">
        <v>26759</v>
      </c>
      <c r="K327" s="16">
        <v>0</v>
      </c>
      <c r="M327" s="16">
        <v>40301</v>
      </c>
      <c r="O327" s="16">
        <v>7048</v>
      </c>
      <c r="Q327" s="16">
        <v>4990</v>
      </c>
      <c r="S327" s="16">
        <v>8760</v>
      </c>
      <c r="U327" s="16">
        <v>0</v>
      </c>
      <c r="W327" s="16">
        <v>4367</v>
      </c>
      <c r="Y327" s="16">
        <v>0</v>
      </c>
      <c r="AA327" s="16">
        <v>0</v>
      </c>
      <c r="AC327" s="16">
        <v>0</v>
      </c>
      <c r="AE327" s="32">
        <f t="shared" si="4"/>
        <v>290509</v>
      </c>
    </row>
    <row r="328" spans="1:31" ht="12.75" customHeight="1">
      <c r="A328" s="1" t="s">
        <v>589</v>
      </c>
      <c r="C328" s="1" t="s">
        <v>247</v>
      </c>
      <c r="E328" s="16">
        <v>105611</v>
      </c>
      <c r="G328" s="16">
        <v>0</v>
      </c>
      <c r="I328" s="16">
        <v>1334</v>
      </c>
      <c r="K328" s="16">
        <v>0</v>
      </c>
      <c r="M328" s="16">
        <v>34000</v>
      </c>
      <c r="O328" s="16">
        <v>4024</v>
      </c>
      <c r="Q328" s="16">
        <v>480</v>
      </c>
      <c r="S328" s="16">
        <v>42167</v>
      </c>
      <c r="U328" s="16">
        <v>0</v>
      </c>
      <c r="W328" s="16">
        <v>0</v>
      </c>
      <c r="Y328" s="16">
        <v>0</v>
      </c>
      <c r="AA328" s="16">
        <v>0</v>
      </c>
      <c r="AC328" s="16">
        <v>3024</v>
      </c>
      <c r="AE328" s="32">
        <f t="shared" si="4"/>
        <v>190640</v>
      </c>
    </row>
    <row r="329" spans="1:31" ht="12.75" customHeight="1">
      <c r="A329" s="1" t="s">
        <v>549</v>
      </c>
      <c r="C329" s="1" t="s">
        <v>87</v>
      </c>
      <c r="E329" s="16">
        <v>48844</v>
      </c>
      <c r="G329" s="16">
        <v>0</v>
      </c>
      <c r="I329" s="16">
        <v>44799</v>
      </c>
      <c r="K329" s="16">
        <v>0</v>
      </c>
      <c r="M329" s="16">
        <v>0</v>
      </c>
      <c r="O329" s="16">
        <v>890</v>
      </c>
      <c r="Q329" s="16">
        <v>2578</v>
      </c>
      <c r="S329" s="16">
        <v>4160</v>
      </c>
      <c r="U329" s="16">
        <v>0</v>
      </c>
      <c r="W329" s="16">
        <v>0</v>
      </c>
      <c r="Y329" s="16">
        <v>0</v>
      </c>
      <c r="AA329" s="16">
        <v>11081</v>
      </c>
      <c r="AC329" s="16">
        <v>0</v>
      </c>
      <c r="AE329" s="32">
        <f t="shared" si="4"/>
        <v>112352</v>
      </c>
    </row>
    <row r="330" spans="1:31" ht="12.75" customHeight="1">
      <c r="A330" s="1" t="s">
        <v>293</v>
      </c>
      <c r="C330" s="1" t="s">
        <v>197</v>
      </c>
      <c r="E330" s="16">
        <v>80277</v>
      </c>
      <c r="G330" s="16">
        <v>800010</v>
      </c>
      <c r="I330" s="16">
        <v>170198</v>
      </c>
      <c r="K330" s="16">
        <v>0</v>
      </c>
      <c r="M330" s="16">
        <v>3553</v>
      </c>
      <c r="O330" s="16">
        <v>179612</v>
      </c>
      <c r="Q330" s="16">
        <v>3456</v>
      </c>
      <c r="S330" s="16">
        <v>103824</v>
      </c>
      <c r="U330" s="16">
        <v>0</v>
      </c>
      <c r="W330" s="16">
        <v>0</v>
      </c>
      <c r="Y330" s="16">
        <v>0</v>
      </c>
      <c r="AA330" s="16">
        <v>0</v>
      </c>
      <c r="AC330" s="16">
        <v>0</v>
      </c>
      <c r="AE330" s="32">
        <f t="shared" si="4"/>
        <v>1340930</v>
      </c>
    </row>
    <row r="331" spans="1:31" ht="12.75" customHeight="1">
      <c r="A331" s="1" t="s">
        <v>743</v>
      </c>
      <c r="C331" s="1" t="s">
        <v>744</v>
      </c>
      <c r="E331" s="16">
        <v>12188</v>
      </c>
      <c r="G331" s="16">
        <v>0</v>
      </c>
      <c r="I331" s="16">
        <v>1605</v>
      </c>
      <c r="K331" s="16">
        <v>0</v>
      </c>
      <c r="M331" s="16">
        <v>0</v>
      </c>
      <c r="O331" s="16">
        <v>42</v>
      </c>
      <c r="Q331" s="16">
        <v>766</v>
      </c>
      <c r="S331" s="16">
        <v>234</v>
      </c>
      <c r="U331" s="16">
        <v>0</v>
      </c>
      <c r="W331" s="16">
        <v>0</v>
      </c>
      <c r="Y331" s="16">
        <v>0</v>
      </c>
      <c r="AA331" s="16">
        <v>0</v>
      </c>
      <c r="AC331" s="16">
        <v>0</v>
      </c>
      <c r="AE331" s="32">
        <f t="shared" si="4"/>
        <v>14835</v>
      </c>
    </row>
    <row r="332" spans="1:31" ht="12.75" customHeight="1">
      <c r="A332" s="1" t="s">
        <v>784</v>
      </c>
      <c r="D332" s="1"/>
      <c r="E332" s="1"/>
      <c r="F332" s="1"/>
      <c r="G332" s="1"/>
      <c r="AA332" s="16"/>
      <c r="AC332" s="16"/>
      <c r="AE332" s="32" t="s">
        <v>785</v>
      </c>
    </row>
    <row r="333" spans="1:44" s="36" customFormat="1" ht="12.75" customHeight="1">
      <c r="A333" s="36" t="s">
        <v>278</v>
      </c>
      <c r="C333" s="36" t="s">
        <v>106</v>
      </c>
      <c r="E333" s="36">
        <f>113181+40</f>
        <v>113221</v>
      </c>
      <c r="G333" s="36">
        <v>0</v>
      </c>
      <c r="I333" s="36">
        <f>43010+15967</f>
        <v>58977</v>
      </c>
      <c r="K333" s="36">
        <v>0</v>
      </c>
      <c r="M333" s="36">
        <v>104425</v>
      </c>
      <c r="O333" s="36">
        <f>5257+495</f>
        <v>5752</v>
      </c>
      <c r="Q333" s="36">
        <v>1126</v>
      </c>
      <c r="S333" s="36">
        <f>1970</f>
        <v>1970</v>
      </c>
      <c r="U333" s="36">
        <v>0</v>
      </c>
      <c r="W333" s="36">
        <v>0</v>
      </c>
      <c r="Y333" s="36">
        <v>0</v>
      </c>
      <c r="AA333" s="36">
        <v>0</v>
      </c>
      <c r="AB333" s="37"/>
      <c r="AC333" s="36">
        <v>0</v>
      </c>
      <c r="AD333" s="37"/>
      <c r="AE333" s="38">
        <f aca="true" t="shared" si="5" ref="AE333:AE396">SUM(E333:AC333)</f>
        <v>285471</v>
      </c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</row>
    <row r="334" spans="1:31" ht="12.75" customHeight="1">
      <c r="A334" s="1" t="s">
        <v>754</v>
      </c>
      <c r="C334" s="1" t="s">
        <v>172</v>
      </c>
      <c r="E334" s="16">
        <v>28612</v>
      </c>
      <c r="G334" s="16">
        <v>160792</v>
      </c>
      <c r="I334" s="16">
        <v>14273</v>
      </c>
      <c r="K334" s="16">
        <v>0</v>
      </c>
      <c r="M334" s="16">
        <v>0</v>
      </c>
      <c r="O334" s="16">
        <v>4468</v>
      </c>
      <c r="Q334" s="16">
        <v>1334</v>
      </c>
      <c r="S334" s="16">
        <v>5997</v>
      </c>
      <c r="U334" s="16">
        <v>0</v>
      </c>
      <c r="W334" s="16">
        <v>0</v>
      </c>
      <c r="Y334" s="16">
        <v>0</v>
      </c>
      <c r="AA334" s="16">
        <v>0</v>
      </c>
      <c r="AC334" s="16">
        <v>0</v>
      </c>
      <c r="AE334" s="32">
        <f t="shared" si="5"/>
        <v>215476</v>
      </c>
    </row>
    <row r="335" spans="1:31" ht="12.75" customHeight="1">
      <c r="A335" s="1" t="s">
        <v>586</v>
      </c>
      <c r="C335" s="1" t="s">
        <v>239</v>
      </c>
      <c r="E335" s="16">
        <v>6543</v>
      </c>
      <c r="G335" s="16">
        <v>0</v>
      </c>
      <c r="I335" s="16">
        <v>14738</v>
      </c>
      <c r="K335" s="16">
        <v>0</v>
      </c>
      <c r="M335" s="16">
        <v>0</v>
      </c>
      <c r="O335" s="16">
        <v>758</v>
      </c>
      <c r="Q335" s="16">
        <v>2758</v>
      </c>
      <c r="S335" s="16">
        <v>0</v>
      </c>
      <c r="U335" s="16">
        <v>0</v>
      </c>
      <c r="W335" s="16">
        <v>0</v>
      </c>
      <c r="Y335" s="16">
        <v>35000</v>
      </c>
      <c r="AA335" s="16">
        <v>0</v>
      </c>
      <c r="AC335" s="16">
        <v>542</v>
      </c>
      <c r="AE335" s="32">
        <f t="shared" si="5"/>
        <v>60339</v>
      </c>
    </row>
    <row r="336" spans="1:31" ht="12.75" customHeight="1">
      <c r="A336" s="1" t="s">
        <v>279</v>
      </c>
      <c r="C336" s="1" t="s">
        <v>280</v>
      </c>
      <c r="D336" s="16"/>
      <c r="E336" s="16">
        <v>8910</v>
      </c>
      <c r="G336" s="16">
        <v>86463</v>
      </c>
      <c r="I336" s="16">
        <v>60365</v>
      </c>
      <c r="K336" s="16">
        <v>0</v>
      </c>
      <c r="M336" s="16">
        <v>0</v>
      </c>
      <c r="O336" s="16">
        <v>7453</v>
      </c>
      <c r="Q336" s="16">
        <v>908</v>
      </c>
      <c r="S336" s="16">
        <v>1550</v>
      </c>
      <c r="U336" s="16">
        <v>0</v>
      </c>
      <c r="W336" s="16">
        <v>1175</v>
      </c>
      <c r="Y336" s="16">
        <v>29001</v>
      </c>
      <c r="AA336" s="16">
        <v>0</v>
      </c>
      <c r="AC336" s="16">
        <v>0</v>
      </c>
      <c r="AE336" s="32">
        <f t="shared" si="5"/>
        <v>195825</v>
      </c>
    </row>
    <row r="337" spans="1:31" ht="12.75" customHeight="1">
      <c r="A337" s="1" t="s">
        <v>483</v>
      </c>
      <c r="C337" s="1" t="s">
        <v>153</v>
      </c>
      <c r="E337" s="16">
        <v>29313</v>
      </c>
      <c r="G337" s="16">
        <v>175631</v>
      </c>
      <c r="I337" s="16">
        <v>54352</v>
      </c>
      <c r="K337" s="16">
        <v>0</v>
      </c>
      <c r="M337" s="16">
        <v>36197</v>
      </c>
      <c r="O337" s="16">
        <v>37479</v>
      </c>
      <c r="Q337" s="16">
        <v>896</v>
      </c>
      <c r="S337" s="16">
        <v>1235</v>
      </c>
      <c r="U337" s="16">
        <v>0</v>
      </c>
      <c r="W337" s="16">
        <v>0</v>
      </c>
      <c r="Y337" s="16">
        <v>0</v>
      </c>
      <c r="AA337" s="16">
        <v>8700</v>
      </c>
      <c r="AC337" s="16">
        <v>0</v>
      </c>
      <c r="AE337" s="32">
        <f t="shared" si="5"/>
        <v>343803</v>
      </c>
    </row>
    <row r="338" spans="1:31" ht="12.75" customHeight="1">
      <c r="A338" s="1" t="s">
        <v>443</v>
      </c>
      <c r="C338" s="1" t="s">
        <v>346</v>
      </c>
      <c r="E338" s="16">
        <v>41710</v>
      </c>
      <c r="G338" s="16">
        <v>0</v>
      </c>
      <c r="I338" s="16">
        <v>80321</v>
      </c>
      <c r="K338" s="16">
        <v>48852</v>
      </c>
      <c r="M338" s="16">
        <v>9756</v>
      </c>
      <c r="O338" s="16">
        <v>35375</v>
      </c>
      <c r="Q338" s="16">
        <v>73</v>
      </c>
      <c r="S338" s="16">
        <v>8590</v>
      </c>
      <c r="U338" s="16">
        <v>0</v>
      </c>
      <c r="W338" s="16">
        <v>0</v>
      </c>
      <c r="Y338" s="16">
        <v>20940</v>
      </c>
      <c r="AA338" s="16">
        <v>30000</v>
      </c>
      <c r="AC338" s="16">
        <v>0</v>
      </c>
      <c r="AE338" s="32">
        <f t="shared" si="5"/>
        <v>275617</v>
      </c>
    </row>
    <row r="339" spans="1:31" ht="12.75" customHeight="1">
      <c r="A339" s="1" t="s">
        <v>692</v>
      </c>
      <c r="C339" s="1" t="s">
        <v>137</v>
      </c>
      <c r="E339" s="16">
        <v>58260</v>
      </c>
      <c r="G339" s="16">
        <v>629066</v>
      </c>
      <c r="I339" s="16">
        <v>132304</v>
      </c>
      <c r="K339" s="16">
        <v>0</v>
      </c>
      <c r="M339" s="16">
        <v>52930</v>
      </c>
      <c r="O339" s="16">
        <v>18704</v>
      </c>
      <c r="Q339" s="16">
        <v>19420</v>
      </c>
      <c r="S339" s="16">
        <v>3066</v>
      </c>
      <c r="U339" s="16">
        <v>0</v>
      </c>
      <c r="W339" s="16">
        <v>0</v>
      </c>
      <c r="Y339" s="16">
        <v>0</v>
      </c>
      <c r="AA339" s="16">
        <v>0</v>
      </c>
      <c r="AC339" s="16">
        <v>0</v>
      </c>
      <c r="AE339" s="32">
        <f t="shared" si="5"/>
        <v>913750</v>
      </c>
    </row>
    <row r="340" spans="1:31" ht="12.75" customHeight="1">
      <c r="A340" s="1" t="s">
        <v>544</v>
      </c>
      <c r="C340" s="1" t="s">
        <v>149</v>
      </c>
      <c r="E340" s="16">
        <v>12105</v>
      </c>
      <c r="G340" s="16">
        <v>1425823</v>
      </c>
      <c r="I340" s="16">
        <v>55924</v>
      </c>
      <c r="K340" s="16">
        <v>0</v>
      </c>
      <c r="M340" s="16">
        <v>0</v>
      </c>
      <c r="O340" s="16">
        <v>43151</v>
      </c>
      <c r="Q340" s="16">
        <v>20868</v>
      </c>
      <c r="S340" s="16">
        <v>376262</v>
      </c>
      <c r="U340" s="16">
        <v>0</v>
      </c>
      <c r="W340" s="16">
        <v>0</v>
      </c>
      <c r="Y340" s="16">
        <v>167891</v>
      </c>
      <c r="AA340" s="16">
        <v>0</v>
      </c>
      <c r="AC340" s="16">
        <v>0</v>
      </c>
      <c r="AE340" s="32">
        <f t="shared" si="5"/>
        <v>2102024</v>
      </c>
    </row>
    <row r="341" spans="1:31" ht="12.75" customHeight="1">
      <c r="A341" s="1" t="s">
        <v>675</v>
      </c>
      <c r="C341" s="1" t="s">
        <v>215</v>
      </c>
      <c r="E341" s="16">
        <v>320590</v>
      </c>
      <c r="G341" s="16">
        <v>579</v>
      </c>
      <c r="I341" s="16">
        <v>72490</v>
      </c>
      <c r="K341" s="16">
        <v>0</v>
      </c>
      <c r="M341" s="16">
        <v>25000</v>
      </c>
      <c r="O341" s="16">
        <v>6776</v>
      </c>
      <c r="Q341" s="16">
        <v>1011</v>
      </c>
      <c r="S341" s="16">
        <v>78528</v>
      </c>
      <c r="U341" s="16">
        <v>0</v>
      </c>
      <c r="W341" s="16">
        <v>17017</v>
      </c>
      <c r="Y341" s="16">
        <v>0</v>
      </c>
      <c r="AA341" s="16">
        <v>0</v>
      </c>
      <c r="AC341" s="16">
        <v>0</v>
      </c>
      <c r="AE341" s="32">
        <f t="shared" si="5"/>
        <v>521991</v>
      </c>
    </row>
    <row r="342" spans="1:31" ht="12.75" customHeight="1">
      <c r="A342" s="1" t="s">
        <v>667</v>
      </c>
      <c r="C342" s="1" t="s">
        <v>309</v>
      </c>
      <c r="E342" s="16">
        <v>16246</v>
      </c>
      <c r="G342" s="16">
        <v>0</v>
      </c>
      <c r="I342" s="16">
        <v>16306</v>
      </c>
      <c r="K342" s="16">
        <v>0</v>
      </c>
      <c r="M342" s="16">
        <v>0</v>
      </c>
      <c r="O342" s="16">
        <v>1194</v>
      </c>
      <c r="Q342" s="16">
        <v>576</v>
      </c>
      <c r="S342" s="16">
        <v>0</v>
      </c>
      <c r="U342" s="16">
        <v>0</v>
      </c>
      <c r="W342" s="16">
        <v>0</v>
      </c>
      <c r="Y342" s="16">
        <v>0</v>
      </c>
      <c r="AA342" s="16">
        <v>0</v>
      </c>
      <c r="AC342" s="16">
        <v>0</v>
      </c>
      <c r="AE342" s="32">
        <f t="shared" si="5"/>
        <v>34322</v>
      </c>
    </row>
    <row r="343" spans="1:31" ht="12.75" customHeight="1">
      <c r="A343" s="1" t="s">
        <v>281</v>
      </c>
      <c r="C343" s="1" t="s">
        <v>73</v>
      </c>
      <c r="D343" s="16"/>
      <c r="E343" s="16">
        <v>278072</v>
      </c>
      <c r="G343" s="16">
        <v>1508287</v>
      </c>
      <c r="I343" s="16">
        <v>332417</v>
      </c>
      <c r="K343" s="16">
        <v>0</v>
      </c>
      <c r="M343" s="16">
        <v>298445</v>
      </c>
      <c r="O343" s="16">
        <v>178091</v>
      </c>
      <c r="Q343" s="16">
        <v>19144</v>
      </c>
      <c r="S343" s="16">
        <v>58043</v>
      </c>
      <c r="U343" s="16">
        <v>0</v>
      </c>
      <c r="W343" s="16">
        <v>0</v>
      </c>
      <c r="Y343" s="16">
        <v>0</v>
      </c>
      <c r="AA343" s="16">
        <v>0</v>
      </c>
      <c r="AC343" s="16">
        <v>0</v>
      </c>
      <c r="AE343" s="32">
        <f t="shared" si="5"/>
        <v>2672499</v>
      </c>
    </row>
    <row r="344" spans="1:31" ht="12.75" customHeight="1">
      <c r="A344" s="1" t="s">
        <v>282</v>
      </c>
      <c r="C344" s="1" t="s">
        <v>120</v>
      </c>
      <c r="D344" s="16"/>
      <c r="E344" s="16">
        <v>1752</v>
      </c>
      <c r="G344" s="16">
        <v>29779</v>
      </c>
      <c r="I344" s="16">
        <v>0</v>
      </c>
      <c r="K344" s="16">
        <v>0</v>
      </c>
      <c r="M344" s="16">
        <v>0</v>
      </c>
      <c r="O344" s="16">
        <v>0</v>
      </c>
      <c r="Q344" s="16">
        <v>0</v>
      </c>
      <c r="S344" s="16">
        <v>353</v>
      </c>
      <c r="U344" s="16">
        <v>0</v>
      </c>
      <c r="W344" s="16">
        <v>0</v>
      </c>
      <c r="Y344" s="16">
        <v>0</v>
      </c>
      <c r="AA344" s="16">
        <v>0</v>
      </c>
      <c r="AC344" s="16">
        <v>13800</v>
      </c>
      <c r="AE344" s="32">
        <f t="shared" si="5"/>
        <v>45684</v>
      </c>
    </row>
    <row r="345" spans="1:31" ht="12.75" customHeight="1">
      <c r="A345" s="1" t="s">
        <v>283</v>
      </c>
      <c r="C345" s="1" t="s">
        <v>151</v>
      </c>
      <c r="D345" s="16"/>
      <c r="E345" s="16">
        <v>5024</v>
      </c>
      <c r="G345" s="16">
        <v>0</v>
      </c>
      <c r="I345" s="16">
        <v>737</v>
      </c>
      <c r="K345" s="16">
        <v>0</v>
      </c>
      <c r="M345" s="16">
        <v>0</v>
      </c>
      <c r="O345" s="16">
        <v>0</v>
      </c>
      <c r="Q345" s="16">
        <v>0</v>
      </c>
      <c r="S345" s="16">
        <v>192</v>
      </c>
      <c r="U345" s="16">
        <v>0</v>
      </c>
      <c r="W345" s="16">
        <v>0</v>
      </c>
      <c r="Y345" s="16">
        <v>0</v>
      </c>
      <c r="AA345" s="16">
        <v>0</v>
      </c>
      <c r="AC345" s="16">
        <v>0</v>
      </c>
      <c r="AE345" s="32">
        <f t="shared" si="5"/>
        <v>5953</v>
      </c>
    </row>
    <row r="346" spans="1:31" ht="12.75" customHeight="1">
      <c r="A346" s="1" t="s">
        <v>284</v>
      </c>
      <c r="C346" s="1" t="s">
        <v>84</v>
      </c>
      <c r="D346" s="1"/>
      <c r="E346" s="16">
        <v>34521</v>
      </c>
      <c r="G346" s="16">
        <v>0</v>
      </c>
      <c r="I346" s="16">
        <v>27981</v>
      </c>
      <c r="K346" s="16">
        <v>0</v>
      </c>
      <c r="M346" s="16">
        <v>1900</v>
      </c>
      <c r="O346" s="16">
        <v>1394</v>
      </c>
      <c r="Q346" s="16">
        <v>7689</v>
      </c>
      <c r="S346" s="16">
        <v>41807</v>
      </c>
      <c r="U346" s="16">
        <v>0</v>
      </c>
      <c r="W346" s="16">
        <v>0</v>
      </c>
      <c r="Y346" s="16">
        <v>0</v>
      </c>
      <c r="AA346" s="16">
        <v>0</v>
      </c>
      <c r="AC346" s="16">
        <v>-14314</v>
      </c>
      <c r="AE346" s="32">
        <f t="shared" si="5"/>
        <v>100978</v>
      </c>
    </row>
    <row r="347" spans="1:31" ht="12.75" customHeight="1">
      <c r="A347" s="1" t="s">
        <v>606</v>
      </c>
      <c r="C347" s="1" t="s">
        <v>182</v>
      </c>
      <c r="E347" s="16">
        <v>10814</v>
      </c>
      <c r="G347" s="16">
        <v>0</v>
      </c>
      <c r="I347" s="16">
        <v>15227</v>
      </c>
      <c r="K347" s="16">
        <v>0</v>
      </c>
      <c r="M347" s="16">
        <v>0</v>
      </c>
      <c r="O347" s="16">
        <v>0</v>
      </c>
      <c r="Q347" s="16">
        <v>28</v>
      </c>
      <c r="S347" s="16">
        <v>638</v>
      </c>
      <c r="U347" s="16">
        <v>0</v>
      </c>
      <c r="W347" s="16">
        <v>0</v>
      </c>
      <c r="Y347" s="16">
        <v>0</v>
      </c>
      <c r="AA347" s="16">
        <v>0</v>
      </c>
      <c r="AC347" s="16">
        <v>0</v>
      </c>
      <c r="AE347" s="32">
        <f t="shared" si="5"/>
        <v>26707</v>
      </c>
    </row>
    <row r="348" spans="1:31" ht="12.75" customHeight="1">
      <c r="A348" s="1" t="s">
        <v>500</v>
      </c>
      <c r="C348" s="1" t="s">
        <v>122</v>
      </c>
      <c r="E348" s="16">
        <v>13159</v>
      </c>
      <c r="G348" s="16">
        <v>0</v>
      </c>
      <c r="I348" s="16">
        <v>18832</v>
      </c>
      <c r="K348" s="16">
        <v>0</v>
      </c>
      <c r="M348" s="16">
        <v>0</v>
      </c>
      <c r="O348" s="16">
        <v>2040</v>
      </c>
      <c r="Q348" s="16">
        <v>160</v>
      </c>
      <c r="S348" s="16">
        <v>67</v>
      </c>
      <c r="U348" s="16">
        <v>0</v>
      </c>
      <c r="W348" s="16">
        <v>0</v>
      </c>
      <c r="Y348" s="16">
        <v>0</v>
      </c>
      <c r="AA348" s="16">
        <v>0</v>
      </c>
      <c r="AC348" s="16">
        <v>0</v>
      </c>
      <c r="AE348" s="32">
        <f t="shared" si="5"/>
        <v>34258</v>
      </c>
    </row>
    <row r="349" spans="1:31" ht="12.75" customHeight="1">
      <c r="A349" s="1" t="s">
        <v>759</v>
      </c>
      <c r="C349" s="1" t="s">
        <v>120</v>
      </c>
      <c r="E349" s="16">
        <v>22319</v>
      </c>
      <c r="G349" s="16">
        <v>0</v>
      </c>
      <c r="I349" s="16">
        <v>59048</v>
      </c>
      <c r="K349" s="16">
        <v>0</v>
      </c>
      <c r="M349" s="16">
        <v>0</v>
      </c>
      <c r="O349" s="16">
        <v>2179</v>
      </c>
      <c r="Q349" s="16">
        <v>2256</v>
      </c>
      <c r="S349" s="16">
        <v>8767</v>
      </c>
      <c r="U349" s="16">
        <v>0</v>
      </c>
      <c r="W349" s="16">
        <v>0</v>
      </c>
      <c r="Y349" s="16">
        <v>0</v>
      </c>
      <c r="AA349" s="16">
        <v>0</v>
      </c>
      <c r="AC349" s="16">
        <v>136</v>
      </c>
      <c r="AE349" s="32">
        <f t="shared" si="5"/>
        <v>94705</v>
      </c>
    </row>
    <row r="350" spans="1:31" ht="12.75" customHeight="1">
      <c r="A350" s="1" t="s">
        <v>285</v>
      </c>
      <c r="C350" s="1" t="s">
        <v>112</v>
      </c>
      <c r="D350" s="16"/>
      <c r="E350" s="16">
        <v>9295294</v>
      </c>
      <c r="G350" s="16">
        <v>0</v>
      </c>
      <c r="I350" s="16">
        <v>1085517</v>
      </c>
      <c r="K350" s="16">
        <v>0</v>
      </c>
      <c r="M350" s="16">
        <v>423453</v>
      </c>
      <c r="O350" s="16">
        <v>250376</v>
      </c>
      <c r="Q350" s="16">
        <v>46791</v>
      </c>
      <c r="S350" s="16">
        <v>110984</v>
      </c>
      <c r="U350" s="16">
        <v>0</v>
      </c>
      <c r="W350" s="16">
        <v>37827</v>
      </c>
      <c r="Y350" s="16">
        <v>0</v>
      </c>
      <c r="AA350" s="16">
        <v>0</v>
      </c>
      <c r="AC350" s="16">
        <v>117380</v>
      </c>
      <c r="AE350" s="32">
        <f t="shared" si="5"/>
        <v>11367622</v>
      </c>
    </row>
    <row r="351" spans="1:31" ht="12.75" customHeight="1">
      <c r="A351" s="1" t="s">
        <v>286</v>
      </c>
      <c r="C351" s="1" t="s">
        <v>236</v>
      </c>
      <c r="D351" s="1"/>
      <c r="E351" s="16">
        <v>106284</v>
      </c>
      <c r="G351" s="16">
        <v>0</v>
      </c>
      <c r="I351" s="16">
        <v>79176</v>
      </c>
      <c r="K351" s="16">
        <v>0</v>
      </c>
      <c r="M351" s="16">
        <v>0</v>
      </c>
      <c r="O351" s="16">
        <v>53288</v>
      </c>
      <c r="Q351" s="16">
        <v>194</v>
      </c>
      <c r="S351" s="16">
        <v>41379</v>
      </c>
      <c r="U351" s="16">
        <v>0</v>
      </c>
      <c r="W351" s="16">
        <v>0</v>
      </c>
      <c r="Y351" s="16">
        <v>0</v>
      </c>
      <c r="AA351" s="16">
        <v>0</v>
      </c>
      <c r="AC351" s="16">
        <v>0</v>
      </c>
      <c r="AE351" s="32">
        <f t="shared" si="5"/>
        <v>280321</v>
      </c>
    </row>
    <row r="352" spans="1:31" ht="12.75" customHeight="1">
      <c r="A352" s="1" t="s">
        <v>788</v>
      </c>
      <c r="C352" s="1" t="s">
        <v>239</v>
      </c>
      <c r="E352" s="16">
        <v>24509</v>
      </c>
      <c r="G352" s="16">
        <v>71355</v>
      </c>
      <c r="I352" s="16">
        <v>41980</v>
      </c>
      <c r="K352" s="16">
        <v>0</v>
      </c>
      <c r="M352" s="16">
        <v>484</v>
      </c>
      <c r="O352" s="16">
        <v>460</v>
      </c>
      <c r="Q352" s="16">
        <v>501</v>
      </c>
      <c r="S352" s="16">
        <v>1739</v>
      </c>
      <c r="U352" s="16">
        <v>0</v>
      </c>
      <c r="W352" s="16">
        <v>0</v>
      </c>
      <c r="Y352" s="16">
        <v>0</v>
      </c>
      <c r="AA352" s="16">
        <v>0</v>
      </c>
      <c r="AC352" s="16">
        <v>0</v>
      </c>
      <c r="AE352" s="32">
        <f t="shared" si="5"/>
        <v>141028</v>
      </c>
    </row>
    <row r="353" spans="1:31" ht="12.75" customHeight="1">
      <c r="A353" s="1" t="s">
        <v>287</v>
      </c>
      <c r="C353" s="1" t="s">
        <v>114</v>
      </c>
      <c r="D353" s="16"/>
      <c r="E353" s="16">
        <v>95653</v>
      </c>
      <c r="G353" s="16">
        <v>539852</v>
      </c>
      <c r="I353" s="16">
        <v>63431</v>
      </c>
      <c r="K353" s="16">
        <v>0</v>
      </c>
      <c r="M353" s="16">
        <v>14438</v>
      </c>
      <c r="O353" s="16">
        <v>11826</v>
      </c>
      <c r="Q353" s="16">
        <v>42359</v>
      </c>
      <c r="S353" s="16">
        <v>685</v>
      </c>
      <c r="U353" s="16">
        <v>0</v>
      </c>
      <c r="W353" s="16">
        <v>0</v>
      </c>
      <c r="Y353" s="16">
        <v>0</v>
      </c>
      <c r="AA353" s="16">
        <v>0</v>
      </c>
      <c r="AC353" s="16">
        <v>0</v>
      </c>
      <c r="AE353" s="32">
        <f t="shared" si="5"/>
        <v>768244</v>
      </c>
    </row>
    <row r="354" spans="1:31" ht="12.75" customHeight="1">
      <c r="A354" s="1" t="s">
        <v>789</v>
      </c>
      <c r="C354" s="1" t="s">
        <v>280</v>
      </c>
      <c r="E354" s="16">
        <v>34866</v>
      </c>
      <c r="G354" s="16">
        <v>293783</v>
      </c>
      <c r="I354" s="16">
        <v>69125</v>
      </c>
      <c r="K354" s="16">
        <v>0</v>
      </c>
      <c r="M354" s="16">
        <v>20457</v>
      </c>
      <c r="O354" s="16">
        <v>43617</v>
      </c>
      <c r="Q354" s="16">
        <v>13123</v>
      </c>
      <c r="S354" s="16">
        <v>22514</v>
      </c>
      <c r="U354" s="16">
        <v>0</v>
      </c>
      <c r="W354" s="16">
        <v>0</v>
      </c>
      <c r="Y354" s="16">
        <v>0</v>
      </c>
      <c r="AA354" s="16">
        <v>0</v>
      </c>
      <c r="AC354" s="16">
        <v>0</v>
      </c>
      <c r="AE354" s="32">
        <f t="shared" si="5"/>
        <v>497485</v>
      </c>
    </row>
    <row r="355" spans="1:31" ht="12.75" customHeight="1">
      <c r="A355" s="1" t="s">
        <v>288</v>
      </c>
      <c r="C355" s="1" t="s">
        <v>276</v>
      </c>
      <c r="D355" s="16"/>
      <c r="E355" s="16">
        <v>156416</v>
      </c>
      <c r="G355" s="16">
        <v>0</v>
      </c>
      <c r="I355" s="16">
        <v>97501</v>
      </c>
      <c r="K355" s="16">
        <v>0</v>
      </c>
      <c r="M355" s="16">
        <v>15097</v>
      </c>
      <c r="O355" s="16">
        <v>44194</v>
      </c>
      <c r="Q355" s="16">
        <v>26408</v>
      </c>
      <c r="S355" s="16">
        <v>34373</v>
      </c>
      <c r="U355" s="16">
        <v>0</v>
      </c>
      <c r="W355" s="16">
        <v>0</v>
      </c>
      <c r="Y355" s="16">
        <v>460000</v>
      </c>
      <c r="AA355" s="16">
        <v>0</v>
      </c>
      <c r="AC355" s="16">
        <v>0</v>
      </c>
      <c r="AE355" s="32">
        <f t="shared" si="5"/>
        <v>833989</v>
      </c>
    </row>
    <row r="356" spans="1:31" ht="12.75" customHeight="1">
      <c r="A356" s="1" t="s">
        <v>790</v>
      </c>
      <c r="C356" s="1" t="s">
        <v>65</v>
      </c>
      <c r="D356" s="16"/>
      <c r="E356" s="16">
        <v>7052</v>
      </c>
      <c r="G356" s="16">
        <v>51250</v>
      </c>
      <c r="I356" s="16">
        <v>16507</v>
      </c>
      <c r="K356" s="16">
        <v>0</v>
      </c>
      <c r="M356" s="16">
        <v>1692</v>
      </c>
      <c r="O356" s="16">
        <v>0</v>
      </c>
      <c r="Q356" s="16">
        <v>1448</v>
      </c>
      <c r="S356" s="16">
        <v>7360</v>
      </c>
      <c r="U356" s="16">
        <v>0</v>
      </c>
      <c r="W356" s="16">
        <v>200</v>
      </c>
      <c r="Y356" s="16">
        <v>0</v>
      </c>
      <c r="AA356" s="16">
        <v>0</v>
      </c>
      <c r="AC356" s="16">
        <v>0</v>
      </c>
      <c r="AE356" s="32">
        <f t="shared" si="5"/>
        <v>85509</v>
      </c>
    </row>
    <row r="357" spans="1:31" ht="12.75" customHeight="1">
      <c r="A357" s="1" t="s">
        <v>681</v>
      </c>
      <c r="C357" s="1" t="s">
        <v>82</v>
      </c>
      <c r="E357" s="16">
        <v>15553</v>
      </c>
      <c r="G357" s="16">
        <v>0</v>
      </c>
      <c r="I357" s="16">
        <v>14506</v>
      </c>
      <c r="K357" s="16">
        <v>0</v>
      </c>
      <c r="M357" s="16">
        <v>0</v>
      </c>
      <c r="O357" s="16">
        <v>531</v>
      </c>
      <c r="Q357" s="16">
        <v>3</v>
      </c>
      <c r="S357" s="16">
        <v>1318</v>
      </c>
      <c r="U357" s="16">
        <v>0</v>
      </c>
      <c r="W357" s="16">
        <v>0</v>
      </c>
      <c r="Y357" s="16">
        <v>0</v>
      </c>
      <c r="AA357" s="16">
        <v>0</v>
      </c>
      <c r="AC357" s="16">
        <v>0</v>
      </c>
      <c r="AE357" s="32">
        <f t="shared" si="5"/>
        <v>31911</v>
      </c>
    </row>
    <row r="358" spans="1:31" ht="12.75" customHeight="1">
      <c r="A358" s="1" t="s">
        <v>651</v>
      </c>
      <c r="C358" s="1" t="s">
        <v>167</v>
      </c>
      <c r="E358" s="16">
        <v>23275</v>
      </c>
      <c r="G358" s="16">
        <v>0</v>
      </c>
      <c r="I358" s="16">
        <v>8314</v>
      </c>
      <c r="K358" s="16">
        <v>0</v>
      </c>
      <c r="M358" s="16">
        <v>0</v>
      </c>
      <c r="O358" s="16">
        <v>75</v>
      </c>
      <c r="Q358" s="16">
        <v>3298</v>
      </c>
      <c r="S358" s="16">
        <v>6853</v>
      </c>
      <c r="U358" s="16">
        <v>0</v>
      </c>
      <c r="W358" s="16">
        <v>0</v>
      </c>
      <c r="Y358" s="16">
        <v>0</v>
      </c>
      <c r="AA358" s="16">
        <v>0</v>
      </c>
      <c r="AC358" s="16">
        <v>0</v>
      </c>
      <c r="AE358" s="32">
        <f t="shared" si="5"/>
        <v>41815</v>
      </c>
    </row>
    <row r="359" spans="1:31" ht="12.75" customHeight="1">
      <c r="A359" s="1" t="s">
        <v>289</v>
      </c>
      <c r="C359" s="1" t="s">
        <v>87</v>
      </c>
      <c r="D359" s="16"/>
      <c r="E359" s="16">
        <v>43459</v>
      </c>
      <c r="G359" s="16">
        <v>186832</v>
      </c>
      <c r="I359" s="16">
        <v>46325</v>
      </c>
      <c r="K359" s="16">
        <v>0</v>
      </c>
      <c r="M359" s="16">
        <v>700</v>
      </c>
      <c r="O359" s="16">
        <v>395</v>
      </c>
      <c r="Q359" s="16">
        <v>3200</v>
      </c>
      <c r="S359" s="16">
        <v>12117</v>
      </c>
      <c r="U359" s="16">
        <v>0</v>
      </c>
      <c r="W359" s="16">
        <v>0</v>
      </c>
      <c r="Y359" s="16">
        <v>0</v>
      </c>
      <c r="AA359" s="16">
        <v>0</v>
      </c>
      <c r="AC359" s="16">
        <v>0</v>
      </c>
      <c r="AE359" s="32">
        <f t="shared" si="5"/>
        <v>293028</v>
      </c>
    </row>
    <row r="360" spans="1:31" ht="12.75" customHeight="1">
      <c r="A360" s="1" t="s">
        <v>732</v>
      </c>
      <c r="C360" s="1" t="s">
        <v>106</v>
      </c>
      <c r="E360" s="16">
        <v>48378</v>
      </c>
      <c r="G360" s="16">
        <v>0</v>
      </c>
      <c r="I360" s="16">
        <v>9046</v>
      </c>
      <c r="K360" s="16">
        <v>0</v>
      </c>
      <c r="M360" s="16">
        <v>16549</v>
      </c>
      <c r="O360" s="16">
        <v>7206</v>
      </c>
      <c r="Q360" s="16">
        <v>2012</v>
      </c>
      <c r="S360" s="16">
        <v>1980</v>
      </c>
      <c r="U360" s="16">
        <v>0</v>
      </c>
      <c r="W360" s="16">
        <v>0</v>
      </c>
      <c r="Y360" s="16">
        <v>7494</v>
      </c>
      <c r="AA360" s="16">
        <v>0</v>
      </c>
      <c r="AC360" s="16">
        <v>0</v>
      </c>
      <c r="AE360" s="32">
        <f t="shared" si="5"/>
        <v>92665</v>
      </c>
    </row>
    <row r="361" spans="1:31" ht="12.75" customHeight="1">
      <c r="A361" s="1" t="s">
        <v>749</v>
      </c>
      <c r="C361" s="1" t="s">
        <v>192</v>
      </c>
      <c r="E361" s="16">
        <v>14730</v>
      </c>
      <c r="G361" s="16">
        <v>57027</v>
      </c>
      <c r="I361" s="16">
        <v>42733</v>
      </c>
      <c r="K361" s="16">
        <v>0</v>
      </c>
      <c r="M361" s="16">
        <v>7675</v>
      </c>
      <c r="O361" s="16">
        <v>2422</v>
      </c>
      <c r="Q361" s="16">
        <v>916</v>
      </c>
      <c r="S361" s="16">
        <v>3876</v>
      </c>
      <c r="U361" s="16">
        <v>0</v>
      </c>
      <c r="W361" s="16">
        <v>0</v>
      </c>
      <c r="Y361" s="16">
        <v>0</v>
      </c>
      <c r="AA361" s="16">
        <v>0</v>
      </c>
      <c r="AC361" s="16">
        <v>0</v>
      </c>
      <c r="AE361" s="32">
        <f t="shared" si="5"/>
        <v>129379</v>
      </c>
    </row>
    <row r="362" spans="1:31" ht="12.75" customHeight="1">
      <c r="A362" s="1" t="s">
        <v>290</v>
      </c>
      <c r="C362" s="1" t="s">
        <v>291</v>
      </c>
      <c r="D362" s="16"/>
      <c r="E362" s="16">
        <v>383311</v>
      </c>
      <c r="G362" s="16">
        <v>3501</v>
      </c>
      <c r="I362" s="16">
        <v>155941</v>
      </c>
      <c r="K362" s="16">
        <v>0</v>
      </c>
      <c r="M362" s="16">
        <v>105032</v>
      </c>
      <c r="O362" s="16">
        <v>46630</v>
      </c>
      <c r="Q362" s="16">
        <v>68291</v>
      </c>
      <c r="S362" s="16">
        <v>13105</v>
      </c>
      <c r="U362" s="16">
        <v>0</v>
      </c>
      <c r="W362" s="16">
        <v>10430</v>
      </c>
      <c r="Y362" s="16">
        <v>550000</v>
      </c>
      <c r="AA362" s="16">
        <v>0</v>
      </c>
      <c r="AC362" s="16">
        <v>0</v>
      </c>
      <c r="AE362" s="32">
        <f t="shared" si="5"/>
        <v>1336241</v>
      </c>
    </row>
    <row r="363" spans="1:31" ht="12.75" customHeight="1">
      <c r="A363" s="1" t="s">
        <v>646</v>
      </c>
      <c r="C363" s="1" t="s">
        <v>372</v>
      </c>
      <c r="E363" s="16">
        <v>37265</v>
      </c>
      <c r="G363" s="16">
        <v>206582</v>
      </c>
      <c r="I363" s="16">
        <v>177288</v>
      </c>
      <c r="K363" s="16">
        <v>0</v>
      </c>
      <c r="M363" s="16">
        <v>6465</v>
      </c>
      <c r="O363" s="16">
        <v>44732</v>
      </c>
      <c r="Q363" s="16">
        <v>2025</v>
      </c>
      <c r="S363" s="16">
        <v>31862</v>
      </c>
      <c r="U363" s="16">
        <v>0</v>
      </c>
      <c r="W363" s="16">
        <v>0</v>
      </c>
      <c r="Y363" s="16">
        <v>0</v>
      </c>
      <c r="AA363" s="16">
        <v>0</v>
      </c>
      <c r="AC363" s="16">
        <v>0</v>
      </c>
      <c r="AE363" s="32">
        <f t="shared" si="5"/>
        <v>506219</v>
      </c>
    </row>
    <row r="364" spans="1:31" ht="12.75" customHeight="1">
      <c r="A364" s="1" t="s">
        <v>739</v>
      </c>
      <c r="C364" s="1" t="s">
        <v>96</v>
      </c>
      <c r="E364" s="16">
        <v>21860</v>
      </c>
      <c r="G364" s="16">
        <v>162559</v>
      </c>
      <c r="I364" s="16">
        <v>21105</v>
      </c>
      <c r="K364" s="16">
        <v>0</v>
      </c>
      <c r="M364" s="16">
        <v>5553</v>
      </c>
      <c r="O364" s="16">
        <v>1785</v>
      </c>
      <c r="Q364" s="16">
        <v>1880</v>
      </c>
      <c r="S364" s="16">
        <v>3604</v>
      </c>
      <c r="U364" s="16">
        <v>0</v>
      </c>
      <c r="W364" s="16">
        <v>0</v>
      </c>
      <c r="Y364" s="16">
        <v>0</v>
      </c>
      <c r="AA364" s="16">
        <v>0</v>
      </c>
      <c r="AC364" s="16">
        <v>0</v>
      </c>
      <c r="AE364" s="32">
        <f t="shared" si="5"/>
        <v>218346</v>
      </c>
    </row>
    <row r="365" spans="1:31" ht="12.75" customHeight="1">
      <c r="A365" s="1" t="s">
        <v>292</v>
      </c>
      <c r="C365" s="1" t="s">
        <v>293</v>
      </c>
      <c r="D365" s="16"/>
      <c r="E365" s="16">
        <v>4509</v>
      </c>
      <c r="G365" s="16">
        <v>0</v>
      </c>
      <c r="I365" s="16">
        <v>45066</v>
      </c>
      <c r="K365" s="16">
        <v>0</v>
      </c>
      <c r="M365" s="16">
        <v>0</v>
      </c>
      <c r="O365" s="16">
        <v>0</v>
      </c>
      <c r="Q365" s="16">
        <v>821</v>
      </c>
      <c r="S365" s="16">
        <v>0</v>
      </c>
      <c r="U365" s="16">
        <v>0</v>
      </c>
      <c r="W365" s="16">
        <v>0</v>
      </c>
      <c r="Y365" s="16">
        <v>0</v>
      </c>
      <c r="AA365" s="16">
        <v>0</v>
      </c>
      <c r="AC365" s="16">
        <v>0</v>
      </c>
      <c r="AE365" s="32">
        <f t="shared" si="5"/>
        <v>50396</v>
      </c>
    </row>
    <row r="366" spans="1:31" ht="12.75" customHeight="1">
      <c r="A366" s="1" t="s">
        <v>454</v>
      </c>
      <c r="C366" s="1" t="s">
        <v>453</v>
      </c>
      <c r="E366" s="16">
        <v>1512</v>
      </c>
      <c r="G366" s="16">
        <v>0</v>
      </c>
      <c r="I366" s="16">
        <v>41412</v>
      </c>
      <c r="K366" s="16">
        <v>0</v>
      </c>
      <c r="M366" s="16">
        <v>0</v>
      </c>
      <c r="O366" s="16">
        <v>15562</v>
      </c>
      <c r="Q366" s="16">
        <v>256</v>
      </c>
      <c r="S366" s="16">
        <v>55</v>
      </c>
      <c r="U366" s="16">
        <v>0</v>
      </c>
      <c r="W366" s="16">
        <v>0</v>
      </c>
      <c r="Y366" s="16">
        <v>0</v>
      </c>
      <c r="AA366" s="16">
        <v>0</v>
      </c>
      <c r="AC366" s="16">
        <v>0</v>
      </c>
      <c r="AE366" s="32">
        <f t="shared" si="5"/>
        <v>58797</v>
      </c>
    </row>
    <row r="367" spans="1:31" ht="12.75" customHeight="1">
      <c r="A367" s="1" t="s">
        <v>294</v>
      </c>
      <c r="C367" s="1" t="s">
        <v>261</v>
      </c>
      <c r="D367" s="16"/>
      <c r="E367" s="16">
        <v>110168</v>
      </c>
      <c r="G367" s="16">
        <v>227047</v>
      </c>
      <c r="I367" s="16">
        <v>149121</v>
      </c>
      <c r="K367" s="16">
        <v>0</v>
      </c>
      <c r="M367" s="16">
        <v>100</v>
      </c>
      <c r="O367" s="16">
        <v>36012</v>
      </c>
      <c r="Q367" s="16">
        <v>29765</v>
      </c>
      <c r="S367" s="16">
        <v>21474</v>
      </c>
      <c r="U367" s="16">
        <v>0</v>
      </c>
      <c r="W367" s="16">
        <v>0</v>
      </c>
      <c r="Y367" s="16">
        <v>0</v>
      </c>
      <c r="AA367" s="16">
        <v>0</v>
      </c>
      <c r="AC367" s="16">
        <v>0</v>
      </c>
      <c r="AE367" s="32">
        <f t="shared" si="5"/>
        <v>573687</v>
      </c>
    </row>
    <row r="368" spans="1:31" ht="12.75" customHeight="1">
      <c r="A368" s="1" t="s">
        <v>745</v>
      </c>
      <c r="C368" s="1" t="s">
        <v>744</v>
      </c>
      <c r="E368" s="16">
        <v>15846</v>
      </c>
      <c r="G368" s="16">
        <v>96961</v>
      </c>
      <c r="I368" s="16">
        <v>4350</v>
      </c>
      <c r="K368" s="16">
        <v>0</v>
      </c>
      <c r="M368" s="16">
        <v>0</v>
      </c>
      <c r="O368" s="16">
        <v>1549</v>
      </c>
      <c r="Q368" s="16">
        <v>1231</v>
      </c>
      <c r="S368" s="16">
        <v>27469</v>
      </c>
      <c r="U368" s="16">
        <v>0</v>
      </c>
      <c r="W368" s="16">
        <v>0</v>
      </c>
      <c r="Y368" s="16">
        <v>0</v>
      </c>
      <c r="AA368" s="16">
        <v>0</v>
      </c>
      <c r="AC368" s="16">
        <v>0</v>
      </c>
      <c r="AE368" s="32">
        <f t="shared" si="5"/>
        <v>147406</v>
      </c>
    </row>
    <row r="369" spans="1:31" ht="12.75" customHeight="1">
      <c r="A369" s="1" t="s">
        <v>773</v>
      </c>
      <c r="C369" s="1" t="s">
        <v>94</v>
      </c>
      <c r="E369" s="16">
        <v>14527</v>
      </c>
      <c r="G369" s="16">
        <v>0</v>
      </c>
      <c r="I369" s="16">
        <v>42427</v>
      </c>
      <c r="K369" s="16">
        <v>955</v>
      </c>
      <c r="M369" s="16">
        <v>578</v>
      </c>
      <c r="O369" s="16">
        <v>10171</v>
      </c>
      <c r="Q369" s="16">
        <v>10197</v>
      </c>
      <c r="S369" s="16">
        <v>589</v>
      </c>
      <c r="U369" s="16">
        <v>0</v>
      </c>
      <c r="W369" s="16">
        <v>0</v>
      </c>
      <c r="Y369" s="16">
        <v>128100</v>
      </c>
      <c r="AA369" s="16">
        <v>0</v>
      </c>
      <c r="AC369" s="16">
        <v>0</v>
      </c>
      <c r="AE369" s="32">
        <f t="shared" si="5"/>
        <v>207544</v>
      </c>
    </row>
    <row r="370" spans="1:31" ht="12.75" customHeight="1">
      <c r="A370" s="1" t="s">
        <v>539</v>
      </c>
      <c r="C370" s="1" t="s">
        <v>200</v>
      </c>
      <c r="E370" s="16">
        <v>4599</v>
      </c>
      <c r="G370" s="16">
        <v>0</v>
      </c>
      <c r="I370" s="16">
        <v>10916</v>
      </c>
      <c r="K370" s="16">
        <v>0</v>
      </c>
      <c r="M370" s="16">
        <v>1825</v>
      </c>
      <c r="O370" s="16">
        <v>50</v>
      </c>
      <c r="Q370" s="16">
        <v>12</v>
      </c>
      <c r="S370" s="16">
        <v>0</v>
      </c>
      <c r="U370" s="16">
        <v>0</v>
      </c>
      <c r="W370" s="16">
        <v>0</v>
      </c>
      <c r="Y370" s="16">
        <v>0</v>
      </c>
      <c r="AA370" s="16">
        <v>0</v>
      </c>
      <c r="AC370" s="16">
        <v>0</v>
      </c>
      <c r="AE370" s="32">
        <f t="shared" si="5"/>
        <v>17402</v>
      </c>
    </row>
    <row r="371" spans="1:31" ht="12.75" customHeight="1">
      <c r="A371" s="1" t="s">
        <v>707</v>
      </c>
      <c r="C371" s="1" t="s">
        <v>110</v>
      </c>
      <c r="E371" s="16">
        <v>3436</v>
      </c>
      <c r="G371" s="16">
        <v>0</v>
      </c>
      <c r="I371" s="16">
        <v>43067</v>
      </c>
      <c r="K371" s="16">
        <v>0</v>
      </c>
      <c r="M371" s="16">
        <v>0</v>
      </c>
      <c r="O371" s="16">
        <v>638</v>
      </c>
      <c r="Q371" s="16">
        <v>1708</v>
      </c>
      <c r="S371" s="16">
        <v>274</v>
      </c>
      <c r="U371" s="16">
        <v>0</v>
      </c>
      <c r="W371" s="16">
        <v>0</v>
      </c>
      <c r="Y371" s="16">
        <v>0</v>
      </c>
      <c r="AA371" s="16">
        <v>0</v>
      </c>
      <c r="AC371" s="16">
        <v>0</v>
      </c>
      <c r="AE371" s="32">
        <f t="shared" si="5"/>
        <v>49123</v>
      </c>
    </row>
    <row r="372" spans="1:31" ht="12.75" customHeight="1">
      <c r="A372" s="1" t="s">
        <v>295</v>
      </c>
      <c r="C372" s="1" t="s">
        <v>221</v>
      </c>
      <c r="D372" s="16"/>
      <c r="E372" s="16">
        <v>190594</v>
      </c>
      <c r="G372" s="16">
        <v>973922</v>
      </c>
      <c r="I372" s="16">
        <v>90582</v>
      </c>
      <c r="K372" s="16">
        <v>0</v>
      </c>
      <c r="M372" s="16">
        <v>17872</v>
      </c>
      <c r="O372" s="16">
        <v>38959</v>
      </c>
      <c r="Q372" s="16">
        <v>7322</v>
      </c>
      <c r="S372" s="16">
        <v>29892</v>
      </c>
      <c r="U372" s="16">
        <v>0</v>
      </c>
      <c r="W372" s="16">
        <v>0</v>
      </c>
      <c r="Y372" s="16">
        <v>0</v>
      </c>
      <c r="AA372" s="16">
        <v>0</v>
      </c>
      <c r="AC372" s="16">
        <v>0</v>
      </c>
      <c r="AE372" s="32">
        <f t="shared" si="5"/>
        <v>1349143</v>
      </c>
    </row>
    <row r="373" spans="1:31" ht="12.75" customHeight="1">
      <c r="A373" s="1" t="s">
        <v>532</v>
      </c>
      <c r="C373" s="1" t="s">
        <v>98</v>
      </c>
      <c r="E373" s="16">
        <v>64583</v>
      </c>
      <c r="G373" s="16">
        <v>0</v>
      </c>
      <c r="I373" s="16">
        <v>34530</v>
      </c>
      <c r="K373" s="16">
        <v>0</v>
      </c>
      <c r="M373" s="16">
        <v>0</v>
      </c>
      <c r="O373" s="16">
        <v>1255</v>
      </c>
      <c r="Q373" s="16">
        <v>6932</v>
      </c>
      <c r="S373" s="16">
        <v>11369</v>
      </c>
      <c r="U373" s="16">
        <v>0</v>
      </c>
      <c r="W373" s="16">
        <v>0</v>
      </c>
      <c r="Y373" s="16">
        <v>0</v>
      </c>
      <c r="AA373" s="16">
        <v>0</v>
      </c>
      <c r="AC373" s="16">
        <v>0</v>
      </c>
      <c r="AE373" s="32">
        <f t="shared" si="5"/>
        <v>118669</v>
      </c>
    </row>
    <row r="374" spans="1:31" ht="12.75" customHeight="1">
      <c r="A374" s="1" t="s">
        <v>478</v>
      </c>
      <c r="C374" s="1" t="s">
        <v>146</v>
      </c>
      <c r="E374" s="16">
        <v>19054</v>
      </c>
      <c r="G374" s="16">
        <v>0</v>
      </c>
      <c r="I374" s="16">
        <v>162016</v>
      </c>
      <c r="K374" s="16">
        <v>7487</v>
      </c>
      <c r="M374" s="16">
        <v>31500</v>
      </c>
      <c r="O374" s="16">
        <v>9</v>
      </c>
      <c r="Q374" s="16">
        <v>3155</v>
      </c>
      <c r="S374" s="16">
        <v>6111</v>
      </c>
      <c r="U374" s="16">
        <v>0</v>
      </c>
      <c r="W374" s="16">
        <v>0</v>
      </c>
      <c r="Y374" s="16">
        <v>0</v>
      </c>
      <c r="AA374" s="16">
        <v>0</v>
      </c>
      <c r="AC374" s="16">
        <v>0</v>
      </c>
      <c r="AE374" s="32">
        <f t="shared" si="5"/>
        <v>229332</v>
      </c>
    </row>
    <row r="375" spans="1:31" ht="12.75" customHeight="1">
      <c r="A375" s="1" t="s">
        <v>296</v>
      </c>
      <c r="C375" s="1" t="s">
        <v>94</v>
      </c>
      <c r="D375" s="1"/>
      <c r="E375" s="16">
        <v>14385</v>
      </c>
      <c r="G375" s="16">
        <v>0</v>
      </c>
      <c r="I375" s="16">
        <v>9586</v>
      </c>
      <c r="K375" s="16">
        <v>0</v>
      </c>
      <c r="M375" s="16">
        <v>0</v>
      </c>
      <c r="O375" s="16">
        <v>100</v>
      </c>
      <c r="Q375" s="16">
        <v>265</v>
      </c>
      <c r="S375" s="16">
        <v>5336</v>
      </c>
      <c r="U375" s="16">
        <v>0</v>
      </c>
      <c r="W375" s="16">
        <v>0</v>
      </c>
      <c r="Y375" s="16">
        <v>0</v>
      </c>
      <c r="AA375" s="16">
        <v>0</v>
      </c>
      <c r="AC375" s="16">
        <v>0</v>
      </c>
      <c r="AE375" s="32">
        <f t="shared" si="5"/>
        <v>29672</v>
      </c>
    </row>
    <row r="376" spans="1:31" ht="12.75" customHeight="1">
      <c r="A376" s="1" t="s">
        <v>297</v>
      </c>
      <c r="C376" s="1" t="s">
        <v>80</v>
      </c>
      <c r="D376" s="16"/>
      <c r="E376" s="16">
        <v>347</v>
      </c>
      <c r="G376" s="16">
        <v>0</v>
      </c>
      <c r="I376" s="16">
        <v>3023</v>
      </c>
      <c r="K376" s="16">
        <v>0</v>
      </c>
      <c r="M376" s="16">
        <v>0</v>
      </c>
      <c r="O376" s="16">
        <v>40</v>
      </c>
      <c r="Q376" s="16">
        <v>6</v>
      </c>
      <c r="S376" s="16">
        <v>0</v>
      </c>
      <c r="U376" s="16">
        <v>0</v>
      </c>
      <c r="W376" s="16">
        <v>0</v>
      </c>
      <c r="Y376" s="16">
        <v>0</v>
      </c>
      <c r="AA376" s="16">
        <v>0</v>
      </c>
      <c r="AC376" s="16">
        <v>0</v>
      </c>
      <c r="AE376" s="32">
        <f t="shared" si="5"/>
        <v>3416</v>
      </c>
    </row>
    <row r="377" spans="1:31" ht="12.75" customHeight="1">
      <c r="A377" s="1" t="s">
        <v>740</v>
      </c>
      <c r="C377" s="1" t="s">
        <v>96</v>
      </c>
      <c r="E377" s="16">
        <v>39374</v>
      </c>
      <c r="G377" s="16">
        <v>34710</v>
      </c>
      <c r="I377" s="16">
        <v>37783</v>
      </c>
      <c r="K377" s="16">
        <v>0</v>
      </c>
      <c r="M377" s="16">
        <v>20000</v>
      </c>
      <c r="O377" s="16">
        <v>3876</v>
      </c>
      <c r="Q377" s="16">
        <v>431</v>
      </c>
      <c r="S377" s="16">
        <v>8569</v>
      </c>
      <c r="U377" s="16">
        <v>0</v>
      </c>
      <c r="W377" s="16">
        <v>0</v>
      </c>
      <c r="Y377" s="16">
        <v>0</v>
      </c>
      <c r="AA377" s="16">
        <v>21450</v>
      </c>
      <c r="AC377" s="16">
        <v>0</v>
      </c>
      <c r="AE377" s="32">
        <f t="shared" si="5"/>
        <v>166193</v>
      </c>
    </row>
    <row r="378" spans="1:31" ht="12.75" customHeight="1">
      <c r="A378" s="1" t="s">
        <v>298</v>
      </c>
      <c r="C378" s="1" t="s">
        <v>106</v>
      </c>
      <c r="D378" s="16"/>
      <c r="E378" s="16">
        <v>157084</v>
      </c>
      <c r="G378" s="16">
        <v>0</v>
      </c>
      <c r="I378" s="16">
        <v>198832</v>
      </c>
      <c r="K378" s="16">
        <v>0</v>
      </c>
      <c r="M378" s="16">
        <v>55594</v>
      </c>
      <c r="O378" s="16">
        <v>37177</v>
      </c>
      <c r="Q378" s="16">
        <v>60546</v>
      </c>
      <c r="S378" s="16">
        <v>38470</v>
      </c>
      <c r="U378" s="16">
        <v>0</v>
      </c>
      <c r="W378" s="16">
        <v>0</v>
      </c>
      <c r="Y378" s="16">
        <v>788225</v>
      </c>
      <c r="AA378" s="16">
        <v>75000</v>
      </c>
      <c r="AC378" s="16">
        <v>0</v>
      </c>
      <c r="AE378" s="32">
        <f t="shared" si="5"/>
        <v>1410928</v>
      </c>
    </row>
    <row r="379" spans="1:31" ht="12.75" customHeight="1">
      <c r="A379" s="1" t="s">
        <v>545</v>
      </c>
      <c r="C379" s="1" t="s">
        <v>149</v>
      </c>
      <c r="E379" s="16">
        <v>409771</v>
      </c>
      <c r="G379" s="16">
        <v>0</v>
      </c>
      <c r="I379" s="16">
        <v>150427</v>
      </c>
      <c r="K379" s="16">
        <v>0</v>
      </c>
      <c r="M379" s="16">
        <v>428</v>
      </c>
      <c r="O379" s="16">
        <v>42475</v>
      </c>
      <c r="Q379" s="16">
        <v>4781</v>
      </c>
      <c r="S379" s="16">
        <v>40742</v>
      </c>
      <c r="U379" s="16">
        <v>0</v>
      </c>
      <c r="W379" s="16">
        <v>0</v>
      </c>
      <c r="Y379" s="16">
        <v>0</v>
      </c>
      <c r="AA379" s="16">
        <v>0</v>
      </c>
      <c r="AC379" s="16">
        <v>0</v>
      </c>
      <c r="AE379" s="32">
        <f t="shared" si="5"/>
        <v>648624</v>
      </c>
    </row>
    <row r="380" spans="1:31" ht="12.75" customHeight="1">
      <c r="A380" s="1" t="s">
        <v>299</v>
      </c>
      <c r="C380" s="1" t="s">
        <v>69</v>
      </c>
      <c r="D380" s="16"/>
      <c r="E380" s="16">
        <v>1259720</v>
      </c>
      <c r="G380" s="16">
        <v>0</v>
      </c>
      <c r="I380" s="16">
        <v>296890</v>
      </c>
      <c r="K380" s="16">
        <v>0</v>
      </c>
      <c r="M380" s="16">
        <v>0</v>
      </c>
      <c r="O380" s="16">
        <v>54800</v>
      </c>
      <c r="Q380" s="16">
        <v>1371</v>
      </c>
      <c r="S380" s="16">
        <v>5663</v>
      </c>
      <c r="U380" s="16">
        <v>0</v>
      </c>
      <c r="W380" s="16">
        <v>30000</v>
      </c>
      <c r="Y380" s="16">
        <v>0</v>
      </c>
      <c r="AA380" s="16">
        <v>0</v>
      </c>
      <c r="AC380" s="16">
        <v>163758</v>
      </c>
      <c r="AE380" s="32">
        <f t="shared" si="5"/>
        <v>1812202</v>
      </c>
    </row>
    <row r="381" spans="1:31" ht="12.75" customHeight="1">
      <c r="A381" s="1" t="s">
        <v>300</v>
      </c>
      <c r="C381" s="1" t="s">
        <v>177</v>
      </c>
      <c r="D381" s="16"/>
      <c r="E381" s="16">
        <v>224850</v>
      </c>
      <c r="G381" s="16">
        <v>921260</v>
      </c>
      <c r="I381" s="16">
        <v>257189</v>
      </c>
      <c r="K381" s="16">
        <v>0</v>
      </c>
      <c r="M381" s="16">
        <v>423621</v>
      </c>
      <c r="O381" s="16">
        <v>11576</v>
      </c>
      <c r="Q381" s="16">
        <v>72840</v>
      </c>
      <c r="S381" s="16">
        <v>28685</v>
      </c>
      <c r="U381" s="16">
        <v>0</v>
      </c>
      <c r="W381" s="16">
        <v>0</v>
      </c>
      <c r="Y381" s="16">
        <v>0</v>
      </c>
      <c r="AA381" s="16">
        <v>0</v>
      </c>
      <c r="AC381" s="16">
        <v>0</v>
      </c>
      <c r="AE381" s="32">
        <f t="shared" si="5"/>
        <v>1940021</v>
      </c>
    </row>
    <row r="382" spans="1:31" ht="12.75" customHeight="1">
      <c r="A382" s="1" t="s">
        <v>301</v>
      </c>
      <c r="C382" s="1" t="s">
        <v>129</v>
      </c>
      <c r="D382" s="16"/>
      <c r="E382" s="16">
        <v>211469</v>
      </c>
      <c r="G382" s="16">
        <v>0</v>
      </c>
      <c r="I382" s="16">
        <v>232890</v>
      </c>
      <c r="K382" s="16">
        <v>0</v>
      </c>
      <c r="M382" s="16">
        <v>0</v>
      </c>
      <c r="O382" s="16">
        <v>56951</v>
      </c>
      <c r="Q382" s="16">
        <v>4293</v>
      </c>
      <c r="S382" s="16">
        <v>126555</v>
      </c>
      <c r="U382" s="16">
        <v>0</v>
      </c>
      <c r="W382" s="16">
        <v>0</v>
      </c>
      <c r="Y382" s="16">
        <v>926286</v>
      </c>
      <c r="AA382" s="16">
        <v>20000</v>
      </c>
      <c r="AC382" s="16">
        <v>0</v>
      </c>
      <c r="AE382" s="32">
        <f t="shared" si="5"/>
        <v>1578444</v>
      </c>
    </row>
    <row r="383" spans="1:31" ht="12.75" customHeight="1">
      <c r="A383" s="1" t="s">
        <v>302</v>
      </c>
      <c r="C383" s="1" t="s">
        <v>303</v>
      </c>
      <c r="D383" s="16"/>
      <c r="E383" s="16">
        <v>266230</v>
      </c>
      <c r="G383" s="16">
        <v>464068</v>
      </c>
      <c r="I383" s="16">
        <v>124422</v>
      </c>
      <c r="K383" s="16">
        <v>0</v>
      </c>
      <c r="M383" s="16">
        <v>15841</v>
      </c>
      <c r="O383" s="16">
        <v>65959</v>
      </c>
      <c r="Q383" s="16">
        <v>32855</v>
      </c>
      <c r="S383" s="16">
        <v>12841</v>
      </c>
      <c r="U383" s="16">
        <v>0</v>
      </c>
      <c r="W383" s="16">
        <v>0</v>
      </c>
      <c r="Y383" s="16">
        <v>2</v>
      </c>
      <c r="AA383" s="16">
        <v>46062</v>
      </c>
      <c r="AC383" s="16">
        <v>1618</v>
      </c>
      <c r="AE383" s="32">
        <f t="shared" si="5"/>
        <v>1029898</v>
      </c>
    </row>
    <row r="384" spans="1:31" ht="12.75" customHeight="1">
      <c r="A384" s="1" t="s">
        <v>652</v>
      </c>
      <c r="C384" s="1" t="s">
        <v>167</v>
      </c>
      <c r="E384" s="16">
        <v>4848</v>
      </c>
      <c r="G384" s="16">
        <v>0</v>
      </c>
      <c r="I384" s="16">
        <v>18609</v>
      </c>
      <c r="K384" s="16">
        <v>0</v>
      </c>
      <c r="M384" s="16">
        <v>0</v>
      </c>
      <c r="O384" s="16">
        <v>219</v>
      </c>
      <c r="Q384" s="16">
        <v>7</v>
      </c>
      <c r="S384" s="16">
        <v>23</v>
      </c>
      <c r="U384" s="16">
        <v>0</v>
      </c>
      <c r="W384" s="16">
        <v>0</v>
      </c>
      <c r="Y384" s="16">
        <v>0</v>
      </c>
      <c r="AA384" s="16">
        <v>0</v>
      </c>
      <c r="AC384" s="16">
        <v>69</v>
      </c>
      <c r="AE384" s="32">
        <f t="shared" si="5"/>
        <v>23775</v>
      </c>
    </row>
    <row r="385" spans="1:31" ht="12.75" customHeight="1">
      <c r="A385" s="1" t="s">
        <v>304</v>
      </c>
      <c r="C385" s="1" t="s">
        <v>190</v>
      </c>
      <c r="D385" s="16"/>
      <c r="E385" s="16">
        <v>444802</v>
      </c>
      <c r="G385" s="16">
        <v>0</v>
      </c>
      <c r="I385" s="16">
        <v>276167</v>
      </c>
      <c r="K385" s="16">
        <v>0</v>
      </c>
      <c r="M385" s="16">
        <v>338866</v>
      </c>
      <c r="O385" s="16">
        <v>56961</v>
      </c>
      <c r="Q385" s="16">
        <v>0</v>
      </c>
      <c r="S385" s="16">
        <v>185965</v>
      </c>
      <c r="U385" s="16">
        <v>25000</v>
      </c>
      <c r="W385" s="16">
        <v>8392</v>
      </c>
      <c r="Y385" s="16">
        <v>0</v>
      </c>
      <c r="AA385" s="16">
        <v>12600</v>
      </c>
      <c r="AC385" s="16">
        <v>259688</v>
      </c>
      <c r="AE385" s="32">
        <f t="shared" si="5"/>
        <v>1608441</v>
      </c>
    </row>
    <row r="386" spans="1:31" ht="12.75" customHeight="1">
      <c r="A386" s="1" t="s">
        <v>305</v>
      </c>
      <c r="C386" s="1" t="s">
        <v>112</v>
      </c>
      <c r="D386" s="16"/>
      <c r="E386" s="16">
        <v>767457</v>
      </c>
      <c r="G386" s="16">
        <v>2752635</v>
      </c>
      <c r="I386" s="16">
        <v>207389</v>
      </c>
      <c r="K386" s="16">
        <v>0</v>
      </c>
      <c r="M386" s="16">
        <v>77489</v>
      </c>
      <c r="O386" s="16">
        <v>27337</v>
      </c>
      <c r="Q386" s="16">
        <v>78992</v>
      </c>
      <c r="S386" s="16">
        <v>132020</v>
      </c>
      <c r="U386" s="16">
        <v>0</v>
      </c>
      <c r="W386" s="16">
        <v>0</v>
      </c>
      <c r="Y386" s="16">
        <v>231084</v>
      </c>
      <c r="AA386" s="16">
        <v>0</v>
      </c>
      <c r="AC386" s="16">
        <v>0</v>
      </c>
      <c r="AE386" s="32">
        <f t="shared" si="5"/>
        <v>4274403</v>
      </c>
    </row>
    <row r="387" spans="1:31" ht="12.75" customHeight="1">
      <c r="A387" s="1" t="s">
        <v>637</v>
      </c>
      <c r="C387" s="1" t="s">
        <v>268</v>
      </c>
      <c r="E387" s="16">
        <v>13177</v>
      </c>
      <c r="G387" s="16">
        <v>0</v>
      </c>
      <c r="I387" s="16">
        <v>17067</v>
      </c>
      <c r="K387" s="16">
        <v>0</v>
      </c>
      <c r="M387" s="16">
        <v>1390</v>
      </c>
      <c r="O387" s="16">
        <v>1413</v>
      </c>
      <c r="Q387" s="16">
        <v>341</v>
      </c>
      <c r="S387" s="16">
        <v>0</v>
      </c>
      <c r="U387" s="16">
        <v>0</v>
      </c>
      <c r="W387" s="16">
        <v>0</v>
      </c>
      <c r="Y387" s="16">
        <v>0</v>
      </c>
      <c r="AA387" s="16">
        <v>0</v>
      </c>
      <c r="AC387" s="16">
        <v>0</v>
      </c>
      <c r="AE387" s="32">
        <f t="shared" si="5"/>
        <v>33388</v>
      </c>
    </row>
    <row r="388" spans="1:31" ht="12.75" customHeight="1">
      <c r="A388" s="1" t="s">
        <v>469</v>
      </c>
      <c r="C388" s="1" t="s">
        <v>100</v>
      </c>
      <c r="E388" s="16">
        <v>4364</v>
      </c>
      <c r="G388" s="16">
        <v>0</v>
      </c>
      <c r="I388" s="16">
        <v>34918</v>
      </c>
      <c r="K388" s="16">
        <v>0</v>
      </c>
      <c r="M388" s="16">
        <v>0</v>
      </c>
      <c r="O388" s="16">
        <v>0</v>
      </c>
      <c r="Q388" s="16">
        <v>655</v>
      </c>
      <c r="S388" s="16">
        <v>101</v>
      </c>
      <c r="U388" s="16">
        <v>0</v>
      </c>
      <c r="W388" s="16">
        <v>0</v>
      </c>
      <c r="Y388" s="16">
        <v>0</v>
      </c>
      <c r="AA388" s="16">
        <v>0</v>
      </c>
      <c r="AC388" s="16">
        <v>0</v>
      </c>
      <c r="AE388" s="32">
        <f t="shared" si="5"/>
        <v>40038</v>
      </c>
    </row>
    <row r="389" spans="1:31" ht="12.75" customHeight="1">
      <c r="A389" s="1" t="s">
        <v>309</v>
      </c>
      <c r="C389" s="1" t="s">
        <v>172</v>
      </c>
      <c r="E389" s="16">
        <v>33822</v>
      </c>
      <c r="G389" s="16">
        <v>231044</v>
      </c>
      <c r="I389" s="16">
        <v>37294</v>
      </c>
      <c r="K389" s="16">
        <v>5133</v>
      </c>
      <c r="M389" s="16">
        <v>99458</v>
      </c>
      <c r="O389" s="16">
        <v>29036</v>
      </c>
      <c r="Q389" s="16">
        <v>11685</v>
      </c>
      <c r="S389" s="16">
        <v>7452</v>
      </c>
      <c r="U389" s="16">
        <v>0</v>
      </c>
      <c r="W389" s="16">
        <v>0</v>
      </c>
      <c r="Y389" s="16">
        <v>27230</v>
      </c>
      <c r="AA389" s="16">
        <v>0</v>
      </c>
      <c r="AC389" s="16">
        <v>689</v>
      </c>
      <c r="AE389" s="32">
        <f t="shared" si="5"/>
        <v>482843</v>
      </c>
    </row>
    <row r="390" spans="1:31" ht="12.75" customHeight="1">
      <c r="A390" s="1" t="s">
        <v>493</v>
      </c>
      <c r="C390" s="1" t="s">
        <v>102</v>
      </c>
      <c r="E390" s="16">
        <v>406607</v>
      </c>
      <c r="G390" s="16">
        <v>0</v>
      </c>
      <c r="I390" s="16">
        <v>92131</v>
      </c>
      <c r="K390" s="16">
        <v>0</v>
      </c>
      <c r="M390" s="16">
        <v>1627</v>
      </c>
      <c r="O390" s="16">
        <v>876</v>
      </c>
      <c r="Q390" s="16">
        <v>8921</v>
      </c>
      <c r="S390" s="16">
        <v>12234</v>
      </c>
      <c r="U390" s="16">
        <v>0</v>
      </c>
      <c r="W390" s="16">
        <v>37504</v>
      </c>
      <c r="Y390" s="16">
        <v>0</v>
      </c>
      <c r="AA390" s="16">
        <v>0</v>
      </c>
      <c r="AC390" s="16">
        <v>0</v>
      </c>
      <c r="AE390" s="32">
        <f t="shared" si="5"/>
        <v>559900</v>
      </c>
    </row>
    <row r="391" spans="1:31" ht="12.75" customHeight="1">
      <c r="A391" s="1" t="s">
        <v>762</v>
      </c>
      <c r="C391" s="1" t="s">
        <v>84</v>
      </c>
      <c r="E391" s="16">
        <v>20135</v>
      </c>
      <c r="G391" s="16">
        <v>74059</v>
      </c>
      <c r="I391" s="16">
        <v>15512</v>
      </c>
      <c r="K391" s="16">
        <v>0</v>
      </c>
      <c r="M391" s="16">
        <v>1160</v>
      </c>
      <c r="O391" s="16">
        <v>16988</v>
      </c>
      <c r="Q391" s="16">
        <v>1781</v>
      </c>
      <c r="S391" s="16">
        <v>1501</v>
      </c>
      <c r="U391" s="16">
        <v>0</v>
      </c>
      <c r="W391" s="16">
        <v>0</v>
      </c>
      <c r="Y391" s="16">
        <v>0</v>
      </c>
      <c r="AA391" s="16">
        <v>0</v>
      </c>
      <c r="AC391" s="16">
        <v>0</v>
      </c>
      <c r="AE391" s="32">
        <f t="shared" si="5"/>
        <v>131136</v>
      </c>
    </row>
    <row r="392" spans="1:31" ht="12.75" customHeight="1">
      <c r="A392" s="1" t="s">
        <v>628</v>
      </c>
      <c r="C392" s="1" t="s">
        <v>293</v>
      </c>
      <c r="E392" s="16">
        <v>36925</v>
      </c>
      <c r="G392" s="16">
        <v>522025</v>
      </c>
      <c r="I392" s="16">
        <v>125663</v>
      </c>
      <c r="K392" s="16">
        <v>0</v>
      </c>
      <c r="M392" s="16">
        <v>23047</v>
      </c>
      <c r="O392" s="16">
        <v>4030</v>
      </c>
      <c r="Q392" s="16">
        <v>10694</v>
      </c>
      <c r="S392" s="16">
        <v>3166</v>
      </c>
      <c r="U392" s="16">
        <v>0</v>
      </c>
      <c r="W392" s="16">
        <v>0</v>
      </c>
      <c r="Y392" s="16">
        <v>0</v>
      </c>
      <c r="AA392" s="16">
        <v>0</v>
      </c>
      <c r="AC392" s="16">
        <v>0</v>
      </c>
      <c r="AE392" s="32">
        <f t="shared" si="5"/>
        <v>725550</v>
      </c>
    </row>
    <row r="393" spans="1:31" ht="12.75" customHeight="1">
      <c r="A393" s="1" t="s">
        <v>576</v>
      </c>
      <c r="C393" s="1" t="s">
        <v>65</v>
      </c>
      <c r="E393" s="16">
        <v>8125</v>
      </c>
      <c r="G393" s="16">
        <v>0</v>
      </c>
      <c r="I393" s="16">
        <v>16549</v>
      </c>
      <c r="K393" s="16">
        <v>0</v>
      </c>
      <c r="M393" s="16">
        <v>0</v>
      </c>
      <c r="O393" s="16">
        <v>0</v>
      </c>
      <c r="Q393" s="16">
        <v>2717</v>
      </c>
      <c r="S393" s="16">
        <v>2954</v>
      </c>
      <c r="U393" s="16">
        <v>0</v>
      </c>
      <c r="W393" s="16">
        <v>0</v>
      </c>
      <c r="Y393" s="16">
        <v>0</v>
      </c>
      <c r="AA393" s="16">
        <v>0</v>
      </c>
      <c r="AC393" s="16">
        <v>3850</v>
      </c>
      <c r="AE393" s="32">
        <f t="shared" si="5"/>
        <v>34195</v>
      </c>
    </row>
    <row r="394" spans="1:31" ht="12.75" customHeight="1">
      <c r="A394" s="1" t="s">
        <v>306</v>
      </c>
      <c r="C394" s="1" t="s">
        <v>114</v>
      </c>
      <c r="D394" s="16"/>
      <c r="E394" s="16">
        <v>21720</v>
      </c>
      <c r="G394" s="16">
        <v>0</v>
      </c>
      <c r="I394" s="16">
        <v>36743</v>
      </c>
      <c r="K394" s="16">
        <v>0</v>
      </c>
      <c r="M394" s="16">
        <v>0</v>
      </c>
      <c r="O394" s="16">
        <v>75</v>
      </c>
      <c r="Q394" s="16">
        <v>0</v>
      </c>
      <c r="S394" s="16">
        <v>1466</v>
      </c>
      <c r="U394" s="16">
        <v>0</v>
      </c>
      <c r="W394" s="16">
        <v>0</v>
      </c>
      <c r="Y394" s="16">
        <v>0</v>
      </c>
      <c r="AA394" s="16">
        <v>0</v>
      </c>
      <c r="AC394" s="16">
        <v>0</v>
      </c>
      <c r="AE394" s="32">
        <f t="shared" si="5"/>
        <v>60004</v>
      </c>
    </row>
    <row r="395" spans="1:31" ht="12.75" customHeight="1">
      <c r="A395" s="1" t="s">
        <v>307</v>
      </c>
      <c r="C395" s="1" t="s">
        <v>114</v>
      </c>
      <c r="D395" s="16"/>
      <c r="E395" s="16">
        <v>4730</v>
      </c>
      <c r="G395" s="16">
        <v>0</v>
      </c>
      <c r="I395" s="16">
        <v>45814</v>
      </c>
      <c r="K395" s="16">
        <v>0</v>
      </c>
      <c r="M395" s="16">
        <v>1930</v>
      </c>
      <c r="O395" s="16">
        <v>0</v>
      </c>
      <c r="Q395" s="16">
        <v>524</v>
      </c>
      <c r="S395" s="16">
        <v>305</v>
      </c>
      <c r="U395" s="16">
        <v>0</v>
      </c>
      <c r="W395" s="16">
        <v>0</v>
      </c>
      <c r="Y395" s="16">
        <v>0</v>
      </c>
      <c r="AA395" s="16">
        <v>0</v>
      </c>
      <c r="AC395" s="16">
        <v>0</v>
      </c>
      <c r="AE395" s="32">
        <f t="shared" si="5"/>
        <v>53303</v>
      </c>
    </row>
    <row r="396" spans="1:31" ht="12.75" customHeight="1">
      <c r="A396" s="1" t="s">
        <v>308</v>
      </c>
      <c r="C396" s="1" t="s">
        <v>309</v>
      </c>
      <c r="D396" s="16"/>
      <c r="E396" s="16">
        <v>103396</v>
      </c>
      <c r="G396" s="16">
        <v>714595</v>
      </c>
      <c r="I396" s="16">
        <v>76280</v>
      </c>
      <c r="K396" s="16">
        <v>0</v>
      </c>
      <c r="M396" s="16">
        <v>30394</v>
      </c>
      <c r="O396" s="16">
        <v>74183</v>
      </c>
      <c r="Q396" s="16">
        <v>10720</v>
      </c>
      <c r="S396" s="16">
        <v>41741</v>
      </c>
      <c r="U396" s="16">
        <v>0</v>
      </c>
      <c r="W396" s="16">
        <v>0</v>
      </c>
      <c r="Y396" s="16">
        <v>0</v>
      </c>
      <c r="AA396" s="16">
        <v>0</v>
      </c>
      <c r="AC396" s="16">
        <v>0</v>
      </c>
      <c r="AE396" s="32">
        <f t="shared" si="5"/>
        <v>1051309</v>
      </c>
    </row>
    <row r="397" spans="1:31" ht="12.75" customHeight="1">
      <c r="A397" s="1" t="s">
        <v>784</v>
      </c>
      <c r="D397" s="1"/>
      <c r="E397" s="1"/>
      <c r="F397" s="1"/>
      <c r="G397" s="1"/>
      <c r="AA397" s="16"/>
      <c r="AC397" s="16"/>
      <c r="AE397" s="32" t="s">
        <v>785</v>
      </c>
    </row>
    <row r="398" spans="1:44" s="36" customFormat="1" ht="12" customHeight="1">
      <c r="A398" s="36" t="s">
        <v>476</v>
      </c>
      <c r="C398" s="36" t="s">
        <v>246</v>
      </c>
      <c r="D398" s="42"/>
      <c r="E398" s="36">
        <v>95876</v>
      </c>
      <c r="G398" s="36">
        <v>594949</v>
      </c>
      <c r="I398" s="36">
        <v>107827</v>
      </c>
      <c r="K398" s="36">
        <v>375</v>
      </c>
      <c r="M398" s="36">
        <v>93845</v>
      </c>
      <c r="O398" s="36">
        <v>74450</v>
      </c>
      <c r="Q398" s="36">
        <v>7475</v>
      </c>
      <c r="S398" s="36">
        <v>3000</v>
      </c>
      <c r="U398" s="36">
        <v>0</v>
      </c>
      <c r="W398" s="36">
        <v>11755</v>
      </c>
      <c r="Y398" s="36">
        <v>0</v>
      </c>
      <c r="AA398" s="36">
        <v>127000</v>
      </c>
      <c r="AB398" s="37"/>
      <c r="AC398" s="36">
        <v>3157</v>
      </c>
      <c r="AD398" s="37"/>
      <c r="AE398" s="38">
        <f aca="true" t="shared" si="6" ref="AE398:AE463">SUM(E398:AC398)</f>
        <v>1119709</v>
      </c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</row>
    <row r="399" spans="1:31" ht="12.75" customHeight="1">
      <c r="A399" s="1" t="s">
        <v>310</v>
      </c>
      <c r="C399" s="1" t="s">
        <v>69</v>
      </c>
      <c r="D399" s="16"/>
      <c r="E399" s="16">
        <v>53406</v>
      </c>
      <c r="G399" s="16">
        <v>0</v>
      </c>
      <c r="I399" s="16">
        <v>29667</v>
      </c>
      <c r="K399" s="16">
        <v>0</v>
      </c>
      <c r="M399" s="16">
        <v>0</v>
      </c>
      <c r="O399" s="16">
        <v>238</v>
      </c>
      <c r="Q399" s="16">
        <v>855</v>
      </c>
      <c r="S399" s="16">
        <v>1782</v>
      </c>
      <c r="U399" s="16">
        <v>0</v>
      </c>
      <c r="W399" s="16">
        <v>0</v>
      </c>
      <c r="Y399" s="16">
        <v>0</v>
      </c>
      <c r="AA399" s="16">
        <v>0</v>
      </c>
      <c r="AC399" s="16">
        <v>0</v>
      </c>
      <c r="AE399" s="32">
        <f t="shared" si="6"/>
        <v>85948</v>
      </c>
    </row>
    <row r="400" spans="1:31" ht="12.75" customHeight="1">
      <c r="A400" s="1" t="s">
        <v>592</v>
      </c>
      <c r="C400" s="1" t="s">
        <v>591</v>
      </c>
      <c r="E400" s="16">
        <v>21197</v>
      </c>
      <c r="G400" s="16">
        <v>0</v>
      </c>
      <c r="I400" s="16">
        <v>18030</v>
      </c>
      <c r="K400" s="16">
        <v>0</v>
      </c>
      <c r="M400" s="16">
        <v>3500</v>
      </c>
      <c r="O400" s="16">
        <v>17910</v>
      </c>
      <c r="Q400" s="16">
        <v>59</v>
      </c>
      <c r="S400" s="16">
        <v>8228</v>
      </c>
      <c r="U400" s="16">
        <v>0</v>
      </c>
      <c r="W400" s="16">
        <v>0</v>
      </c>
      <c r="Y400" s="16">
        <v>0</v>
      </c>
      <c r="AA400" s="16">
        <v>0</v>
      </c>
      <c r="AC400" s="16">
        <v>0</v>
      </c>
      <c r="AE400" s="32">
        <f t="shared" si="6"/>
        <v>68924</v>
      </c>
    </row>
    <row r="401" spans="1:31" ht="12.75" customHeight="1">
      <c r="A401" s="1" t="s">
        <v>311</v>
      </c>
      <c r="C401" s="1" t="s">
        <v>312</v>
      </c>
      <c r="D401" s="16"/>
      <c r="E401" s="16">
        <v>2130</v>
      </c>
      <c r="G401" s="16">
        <v>0</v>
      </c>
      <c r="I401" s="16">
        <v>5595</v>
      </c>
      <c r="K401" s="16">
        <v>0</v>
      </c>
      <c r="M401" s="16">
        <v>0</v>
      </c>
      <c r="O401" s="16">
        <v>0</v>
      </c>
      <c r="Q401" s="16">
        <v>691</v>
      </c>
      <c r="S401" s="16">
        <v>100</v>
      </c>
      <c r="U401" s="16">
        <v>0</v>
      </c>
      <c r="W401" s="16">
        <v>0</v>
      </c>
      <c r="Y401" s="16">
        <v>0</v>
      </c>
      <c r="AA401" s="16">
        <v>0</v>
      </c>
      <c r="AC401" s="16">
        <v>0</v>
      </c>
      <c r="AE401" s="32">
        <f t="shared" si="6"/>
        <v>8516</v>
      </c>
    </row>
    <row r="402" spans="1:31" ht="12.75" customHeight="1">
      <c r="A402" s="1" t="s">
        <v>313</v>
      </c>
      <c r="C402" s="1" t="s">
        <v>106</v>
      </c>
      <c r="D402" s="16"/>
      <c r="E402" s="16">
        <v>72024</v>
      </c>
      <c r="G402" s="16">
        <v>0</v>
      </c>
      <c r="I402" s="16">
        <v>104762</v>
      </c>
      <c r="K402" s="16">
        <v>0</v>
      </c>
      <c r="M402" s="16">
        <v>47184</v>
      </c>
      <c r="O402" s="16">
        <v>5054</v>
      </c>
      <c r="Q402" s="16">
        <v>21114</v>
      </c>
      <c r="S402" s="16">
        <v>63392</v>
      </c>
      <c r="U402" s="16">
        <v>0</v>
      </c>
      <c r="W402" s="16">
        <v>0</v>
      </c>
      <c r="Y402" s="16">
        <v>404500</v>
      </c>
      <c r="AA402" s="16">
        <v>0</v>
      </c>
      <c r="AC402" s="16">
        <v>0</v>
      </c>
      <c r="AE402" s="32">
        <f t="shared" si="6"/>
        <v>718030</v>
      </c>
    </row>
    <row r="403" spans="1:31" ht="12.75" customHeight="1">
      <c r="A403" s="1" t="s">
        <v>314</v>
      </c>
      <c r="C403" s="1" t="s">
        <v>170</v>
      </c>
      <c r="D403" s="16"/>
      <c r="E403" s="16">
        <f>3597</f>
        <v>3597</v>
      </c>
      <c r="G403" s="16">
        <v>0</v>
      </c>
      <c r="I403" s="16">
        <v>9291</v>
      </c>
      <c r="K403" s="16">
        <v>0</v>
      </c>
      <c r="M403" s="16">
        <v>0</v>
      </c>
      <c r="O403" s="16">
        <v>0</v>
      </c>
      <c r="Q403" s="16">
        <v>31</v>
      </c>
      <c r="S403" s="16">
        <v>0</v>
      </c>
      <c r="U403" s="16">
        <v>0</v>
      </c>
      <c r="W403" s="16">
        <v>0</v>
      </c>
      <c r="Y403" s="16">
        <v>0</v>
      </c>
      <c r="AA403" s="16">
        <v>0</v>
      </c>
      <c r="AC403" s="16">
        <v>0</v>
      </c>
      <c r="AE403" s="32">
        <f t="shared" si="6"/>
        <v>12919</v>
      </c>
    </row>
    <row r="404" spans="1:31" ht="12.75" customHeight="1">
      <c r="A404" s="1" t="s">
        <v>315</v>
      </c>
      <c r="C404" s="1" t="s">
        <v>151</v>
      </c>
      <c r="D404" s="16"/>
      <c r="E404" s="16">
        <v>27175</v>
      </c>
      <c r="G404" s="16">
        <v>0</v>
      </c>
      <c r="I404" s="16">
        <v>14580</v>
      </c>
      <c r="K404" s="16">
        <v>0</v>
      </c>
      <c r="M404" s="16">
        <v>0</v>
      </c>
      <c r="O404" s="16">
        <v>253</v>
      </c>
      <c r="Q404" s="16">
        <v>0</v>
      </c>
      <c r="S404" s="16">
        <v>1446</v>
      </c>
      <c r="U404" s="16">
        <v>0</v>
      </c>
      <c r="W404" s="16">
        <v>0</v>
      </c>
      <c r="Y404" s="16">
        <v>0</v>
      </c>
      <c r="AA404" s="16">
        <v>0</v>
      </c>
      <c r="AC404" s="16">
        <v>0</v>
      </c>
      <c r="AE404" s="32">
        <f t="shared" si="6"/>
        <v>43454</v>
      </c>
    </row>
    <row r="405" spans="1:31" ht="12.75" customHeight="1">
      <c r="A405" s="1" t="s">
        <v>494</v>
      </c>
      <c r="C405" s="1" t="s">
        <v>102</v>
      </c>
      <c r="E405" s="16">
        <v>1711</v>
      </c>
      <c r="G405" s="16">
        <v>0</v>
      </c>
      <c r="I405" s="16">
        <v>20153</v>
      </c>
      <c r="K405" s="16">
        <v>0</v>
      </c>
      <c r="M405" s="16">
        <v>4380</v>
      </c>
      <c r="O405" s="16">
        <v>0</v>
      </c>
      <c r="Q405" s="16">
        <v>526</v>
      </c>
      <c r="S405" s="16">
        <v>7713</v>
      </c>
      <c r="U405" s="16">
        <v>0</v>
      </c>
      <c r="W405" s="16">
        <v>0</v>
      </c>
      <c r="Y405" s="16">
        <v>137</v>
      </c>
      <c r="AA405" s="16">
        <v>400</v>
      </c>
      <c r="AC405" s="16">
        <v>0</v>
      </c>
      <c r="AE405" s="32">
        <f t="shared" si="6"/>
        <v>35020</v>
      </c>
    </row>
    <row r="406" spans="1:31" ht="12.75" customHeight="1">
      <c r="A406" s="1" t="s">
        <v>316</v>
      </c>
      <c r="C406" s="1" t="s">
        <v>149</v>
      </c>
      <c r="D406" s="16"/>
      <c r="E406" s="16">
        <v>743761</v>
      </c>
      <c r="G406" s="16">
        <v>5957758</v>
      </c>
      <c r="I406" s="16">
        <v>250908</v>
      </c>
      <c r="K406" s="16">
        <v>0</v>
      </c>
      <c r="M406" s="16">
        <v>0</v>
      </c>
      <c r="O406" s="16">
        <v>994706</v>
      </c>
      <c r="Q406" s="16">
        <v>137424</v>
      </c>
      <c r="S406" s="16">
        <v>50010</v>
      </c>
      <c r="U406" s="16">
        <v>8128</v>
      </c>
      <c r="W406" s="16">
        <v>0</v>
      </c>
      <c r="Y406" s="16">
        <v>0</v>
      </c>
      <c r="AA406" s="16">
        <v>0</v>
      </c>
      <c r="AC406" s="16">
        <v>0</v>
      </c>
      <c r="AE406" s="32">
        <f t="shared" si="6"/>
        <v>8142695</v>
      </c>
    </row>
    <row r="407" spans="1:31" ht="12.75" customHeight="1">
      <c r="A407" s="1" t="s">
        <v>582</v>
      </c>
      <c r="C407" s="1" t="s">
        <v>133</v>
      </c>
      <c r="E407" s="16">
        <v>13176</v>
      </c>
      <c r="G407" s="16">
        <v>0</v>
      </c>
      <c r="I407" s="16">
        <v>24601</v>
      </c>
      <c r="K407" s="16">
        <v>0</v>
      </c>
      <c r="M407" s="16">
        <v>2533</v>
      </c>
      <c r="O407" s="16">
        <v>330</v>
      </c>
      <c r="Q407" s="16">
        <v>16</v>
      </c>
      <c r="S407" s="16">
        <v>2950</v>
      </c>
      <c r="U407" s="16">
        <v>0</v>
      </c>
      <c r="W407" s="16">
        <v>0</v>
      </c>
      <c r="Y407" s="16">
        <v>0</v>
      </c>
      <c r="AA407" s="16">
        <v>0</v>
      </c>
      <c r="AC407" s="16">
        <v>651</v>
      </c>
      <c r="AE407" s="32">
        <f t="shared" si="6"/>
        <v>44257</v>
      </c>
    </row>
    <row r="408" spans="1:31" ht="12.75" customHeight="1">
      <c r="A408" s="1" t="s">
        <v>587</v>
      </c>
      <c r="C408" s="1" t="s">
        <v>239</v>
      </c>
      <c r="E408" s="16">
        <v>8123</v>
      </c>
      <c r="G408" s="16">
        <v>0</v>
      </c>
      <c r="I408" s="16">
        <v>2319</v>
      </c>
      <c r="K408" s="16">
        <v>0</v>
      </c>
      <c r="M408" s="16">
        <v>0</v>
      </c>
      <c r="O408" s="16">
        <v>0</v>
      </c>
      <c r="Q408" s="16">
        <v>24</v>
      </c>
      <c r="S408" s="16">
        <v>370</v>
      </c>
      <c r="U408" s="16">
        <v>0</v>
      </c>
      <c r="W408" s="16">
        <v>0</v>
      </c>
      <c r="Y408" s="16">
        <v>0</v>
      </c>
      <c r="AA408" s="16">
        <v>0</v>
      </c>
      <c r="AC408" s="16">
        <v>0</v>
      </c>
      <c r="AE408" s="32">
        <f t="shared" si="6"/>
        <v>10836</v>
      </c>
    </row>
    <row r="409" spans="1:31" ht="12.75" customHeight="1">
      <c r="A409" s="1" t="s">
        <v>638</v>
      </c>
      <c r="C409" s="1" t="s">
        <v>268</v>
      </c>
      <c r="E409" s="16">
        <v>6493</v>
      </c>
      <c r="G409" s="16">
        <v>19438</v>
      </c>
      <c r="I409" s="16">
        <v>13956</v>
      </c>
      <c r="K409" s="16">
        <v>0</v>
      </c>
      <c r="M409" s="16">
        <v>0</v>
      </c>
      <c r="O409" s="16">
        <v>1240</v>
      </c>
      <c r="Q409" s="16">
        <v>1011</v>
      </c>
      <c r="S409" s="16">
        <v>1141</v>
      </c>
      <c r="U409" s="16">
        <v>0</v>
      </c>
      <c r="W409" s="16">
        <v>0</v>
      </c>
      <c r="Y409" s="16">
        <v>0</v>
      </c>
      <c r="AA409" s="16">
        <v>0</v>
      </c>
      <c r="AC409" s="16">
        <v>0</v>
      </c>
      <c r="AE409" s="32">
        <f t="shared" si="6"/>
        <v>43279</v>
      </c>
    </row>
    <row r="410" spans="1:31" ht="12.75" customHeight="1">
      <c r="A410" s="1" t="s">
        <v>317</v>
      </c>
      <c r="C410" s="1" t="s">
        <v>318</v>
      </c>
      <c r="D410" s="16"/>
      <c r="E410" s="16">
        <v>255567</v>
      </c>
      <c r="G410" s="16">
        <v>749112</v>
      </c>
      <c r="I410" s="16">
        <v>248788</v>
      </c>
      <c r="K410" s="16">
        <v>138</v>
      </c>
      <c r="M410" s="16">
        <v>15360</v>
      </c>
      <c r="O410" s="16">
        <v>19370</v>
      </c>
      <c r="Q410" s="16">
        <v>3632</v>
      </c>
      <c r="S410" s="16">
        <v>75778</v>
      </c>
      <c r="U410" s="16">
        <v>0</v>
      </c>
      <c r="W410" s="16">
        <v>0</v>
      </c>
      <c r="Y410" s="16">
        <v>0</v>
      </c>
      <c r="AA410" s="16">
        <v>0</v>
      </c>
      <c r="AC410" s="16">
        <v>0</v>
      </c>
      <c r="AE410" s="32">
        <f t="shared" si="6"/>
        <v>1367745</v>
      </c>
    </row>
    <row r="411" spans="1:31" ht="12.75" customHeight="1">
      <c r="A411" s="1" t="s">
        <v>319</v>
      </c>
      <c r="C411" s="1" t="s">
        <v>177</v>
      </c>
      <c r="D411" s="16"/>
      <c r="E411" s="16">
        <v>161457</v>
      </c>
      <c r="G411" s="16">
        <v>0</v>
      </c>
      <c r="I411" s="16">
        <v>235762</v>
      </c>
      <c r="K411" s="16">
        <v>33826</v>
      </c>
      <c r="M411" s="16">
        <v>30428</v>
      </c>
      <c r="O411" s="16">
        <v>11028</v>
      </c>
      <c r="Q411" s="16">
        <v>42842</v>
      </c>
      <c r="S411" s="16">
        <v>196195</v>
      </c>
      <c r="U411" s="16">
        <v>0</v>
      </c>
      <c r="W411" s="16">
        <v>0</v>
      </c>
      <c r="Y411" s="16">
        <v>823453</v>
      </c>
      <c r="AA411" s="16">
        <v>0</v>
      </c>
      <c r="AC411" s="16">
        <v>0</v>
      </c>
      <c r="AE411" s="32">
        <f t="shared" si="6"/>
        <v>1534991</v>
      </c>
    </row>
    <row r="412" spans="1:31" ht="12.75" customHeight="1">
      <c r="A412" s="1" t="s">
        <v>320</v>
      </c>
      <c r="C412" s="1" t="s">
        <v>67</v>
      </c>
      <c r="D412" s="16"/>
      <c r="E412" s="16">
        <v>527037</v>
      </c>
      <c r="G412" s="16">
        <v>0</v>
      </c>
      <c r="I412" s="16">
        <v>101299</v>
      </c>
      <c r="K412" s="16">
        <v>0</v>
      </c>
      <c r="M412" s="16">
        <v>0</v>
      </c>
      <c r="O412" s="16">
        <v>68705</v>
      </c>
      <c r="Q412" s="16">
        <v>9926</v>
      </c>
      <c r="S412" s="16">
        <v>18735</v>
      </c>
      <c r="U412" s="16">
        <v>0</v>
      </c>
      <c r="W412" s="16">
        <v>0</v>
      </c>
      <c r="Y412" s="16">
        <v>0</v>
      </c>
      <c r="AA412" s="16">
        <v>0</v>
      </c>
      <c r="AC412" s="16">
        <v>0</v>
      </c>
      <c r="AE412" s="32">
        <f t="shared" si="6"/>
        <v>725702</v>
      </c>
    </row>
    <row r="413" spans="1:31" ht="12.75" customHeight="1">
      <c r="A413" s="1" t="s">
        <v>321</v>
      </c>
      <c r="C413" s="1" t="s">
        <v>129</v>
      </c>
      <c r="D413" s="16"/>
      <c r="E413" s="16">
        <v>0</v>
      </c>
      <c r="G413" s="16">
        <v>0</v>
      </c>
      <c r="I413" s="16">
        <v>24863</v>
      </c>
      <c r="K413" s="16">
        <v>0</v>
      </c>
      <c r="M413" s="16">
        <v>11020</v>
      </c>
      <c r="O413" s="16">
        <v>2620</v>
      </c>
      <c r="Q413" s="16">
        <v>77</v>
      </c>
      <c r="S413" s="16">
        <v>0</v>
      </c>
      <c r="U413" s="16">
        <v>0</v>
      </c>
      <c r="W413" s="16">
        <v>0</v>
      </c>
      <c r="Y413" s="16">
        <v>0</v>
      </c>
      <c r="AA413" s="16">
        <v>0</v>
      </c>
      <c r="AC413" s="16">
        <v>0</v>
      </c>
      <c r="AE413" s="32">
        <f t="shared" si="6"/>
        <v>38580</v>
      </c>
    </row>
    <row r="414" spans="1:31" ht="12.75" customHeight="1">
      <c r="A414" s="1" t="s">
        <v>686</v>
      </c>
      <c r="C414" s="1" t="s">
        <v>184</v>
      </c>
      <c r="E414" s="16">
        <v>20804</v>
      </c>
      <c r="G414" s="16">
        <v>0</v>
      </c>
      <c r="I414" s="16">
        <v>40702</v>
      </c>
      <c r="K414" s="16">
        <v>0</v>
      </c>
      <c r="M414" s="16">
        <v>0</v>
      </c>
      <c r="O414" s="16">
        <v>9068</v>
      </c>
      <c r="Q414" s="16">
        <v>2593</v>
      </c>
      <c r="S414" s="16">
        <v>56</v>
      </c>
      <c r="U414" s="16">
        <v>0</v>
      </c>
      <c r="W414" s="16">
        <v>0</v>
      </c>
      <c r="Y414" s="16">
        <v>0</v>
      </c>
      <c r="AA414" s="16">
        <v>0</v>
      </c>
      <c r="AC414" s="16">
        <v>0</v>
      </c>
      <c r="AE414" s="32">
        <f t="shared" si="6"/>
        <v>73223</v>
      </c>
    </row>
    <row r="415" spans="1:31" ht="12.75" customHeight="1">
      <c r="A415" s="1" t="s">
        <v>462</v>
      </c>
      <c r="C415" s="1" t="s">
        <v>177</v>
      </c>
      <c r="E415" s="16">
        <v>61550</v>
      </c>
      <c r="G415" s="16">
        <v>246095</v>
      </c>
      <c r="I415" s="16">
        <v>85402</v>
      </c>
      <c r="K415" s="16">
        <v>0</v>
      </c>
      <c r="M415" s="16">
        <v>88196</v>
      </c>
      <c r="O415" s="16">
        <v>3623</v>
      </c>
      <c r="Q415" s="16">
        <v>6464</v>
      </c>
      <c r="S415" s="16">
        <v>6874</v>
      </c>
      <c r="U415" s="16">
        <v>0</v>
      </c>
      <c r="W415" s="16">
        <v>0</v>
      </c>
      <c r="Y415" s="16">
        <v>0</v>
      </c>
      <c r="AA415" s="16">
        <v>15000</v>
      </c>
      <c r="AC415" s="16">
        <v>0</v>
      </c>
      <c r="AE415" s="32">
        <f t="shared" si="6"/>
        <v>513204</v>
      </c>
    </row>
    <row r="416" spans="1:31" ht="12.75" customHeight="1">
      <c r="A416" s="1" t="s">
        <v>322</v>
      </c>
      <c r="C416" s="1" t="s">
        <v>217</v>
      </c>
      <c r="D416" s="16"/>
      <c r="E416" s="16">
        <v>61948</v>
      </c>
      <c r="G416" s="16">
        <v>0</v>
      </c>
      <c r="I416" s="16">
        <v>145464</v>
      </c>
      <c r="K416" s="16">
        <v>0</v>
      </c>
      <c r="M416" s="16">
        <v>16743</v>
      </c>
      <c r="O416" s="16">
        <v>3170</v>
      </c>
      <c r="Q416" s="16">
        <v>18406</v>
      </c>
      <c r="S416" s="16">
        <v>16871</v>
      </c>
      <c r="U416" s="16">
        <v>116360</v>
      </c>
      <c r="W416" s="16">
        <v>528</v>
      </c>
      <c r="Y416" s="16">
        <v>566785</v>
      </c>
      <c r="AA416" s="16">
        <v>0</v>
      </c>
      <c r="AC416" s="16">
        <v>18700</v>
      </c>
      <c r="AE416" s="32">
        <f t="shared" si="6"/>
        <v>964975</v>
      </c>
    </row>
    <row r="417" spans="1:31" ht="12.75" customHeight="1">
      <c r="A417" s="1" t="s">
        <v>323</v>
      </c>
      <c r="C417" s="1" t="s">
        <v>303</v>
      </c>
      <c r="D417" s="16"/>
      <c r="E417" s="16">
        <v>76056</v>
      </c>
      <c r="G417" s="16">
        <v>0</v>
      </c>
      <c r="I417" s="16">
        <v>172791</v>
      </c>
      <c r="K417" s="16">
        <v>0</v>
      </c>
      <c r="M417" s="16">
        <v>5732</v>
      </c>
      <c r="O417" s="16">
        <v>30290</v>
      </c>
      <c r="Q417" s="16">
        <v>5064</v>
      </c>
      <c r="S417" s="16">
        <v>17277</v>
      </c>
      <c r="U417" s="16">
        <v>0</v>
      </c>
      <c r="W417" s="16">
        <v>0</v>
      </c>
      <c r="Y417" s="16">
        <v>262399</v>
      </c>
      <c r="AA417" s="16">
        <v>0</v>
      </c>
      <c r="AC417" s="16">
        <v>85145</v>
      </c>
      <c r="AE417" s="32">
        <f t="shared" si="6"/>
        <v>654754</v>
      </c>
    </row>
    <row r="418" spans="1:31" ht="12.75" customHeight="1">
      <c r="A418" s="1" t="s">
        <v>522</v>
      </c>
      <c r="C418" s="1" t="s">
        <v>78</v>
      </c>
      <c r="E418" s="16">
        <v>37254</v>
      </c>
      <c r="G418" s="16">
        <v>0</v>
      </c>
      <c r="I418" s="16">
        <v>140968</v>
      </c>
      <c r="K418" s="16">
        <v>0</v>
      </c>
      <c r="M418" s="16">
        <v>53525</v>
      </c>
      <c r="O418" s="16">
        <v>576</v>
      </c>
      <c r="Q418" s="16">
        <v>1759</v>
      </c>
      <c r="S418" s="16">
        <v>36</v>
      </c>
      <c r="U418" s="16">
        <v>0</v>
      </c>
      <c r="W418" s="16">
        <v>0</v>
      </c>
      <c r="Y418" s="16">
        <v>0</v>
      </c>
      <c r="AA418" s="16">
        <v>0</v>
      </c>
      <c r="AC418" s="16">
        <v>7104</v>
      </c>
      <c r="AE418" s="32">
        <f t="shared" si="6"/>
        <v>241222</v>
      </c>
    </row>
    <row r="419" spans="1:31" ht="12.75" customHeight="1">
      <c r="A419" s="1" t="s">
        <v>633</v>
      </c>
      <c r="C419" s="1" t="s">
        <v>378</v>
      </c>
      <c r="E419" s="16">
        <v>63401</v>
      </c>
      <c r="G419" s="16">
        <v>0</v>
      </c>
      <c r="I419" s="16">
        <v>59133</v>
      </c>
      <c r="K419" s="16">
        <v>0</v>
      </c>
      <c r="M419" s="16">
        <v>0</v>
      </c>
      <c r="O419" s="16">
        <v>43407</v>
      </c>
      <c r="Q419" s="16">
        <v>1845</v>
      </c>
      <c r="S419" s="16">
        <v>49510</v>
      </c>
      <c r="U419" s="16">
        <v>0</v>
      </c>
      <c r="W419" s="16">
        <v>0</v>
      </c>
      <c r="Y419" s="16">
        <v>0</v>
      </c>
      <c r="AA419" s="16">
        <v>35000</v>
      </c>
      <c r="AC419" s="16">
        <v>0</v>
      </c>
      <c r="AE419" s="32">
        <f t="shared" si="6"/>
        <v>252296</v>
      </c>
    </row>
    <row r="420" spans="1:31" ht="12.75" customHeight="1">
      <c r="A420" s="1" t="s">
        <v>699</v>
      </c>
      <c r="C420" s="1" t="s">
        <v>225</v>
      </c>
      <c r="E420" s="16">
        <v>63077</v>
      </c>
      <c r="G420" s="16">
        <v>0</v>
      </c>
      <c r="I420" s="16">
        <v>86106</v>
      </c>
      <c r="K420" s="16">
        <v>0</v>
      </c>
      <c r="M420" s="16">
        <v>19</v>
      </c>
      <c r="O420" s="16">
        <v>4843</v>
      </c>
      <c r="Q420" s="16">
        <v>7291</v>
      </c>
      <c r="S420" s="16">
        <v>14843</v>
      </c>
      <c r="U420" s="16">
        <v>0</v>
      </c>
      <c r="W420" s="16">
        <v>0</v>
      </c>
      <c r="Y420" s="16">
        <v>0</v>
      </c>
      <c r="AA420" s="16">
        <v>0</v>
      </c>
      <c r="AC420" s="16">
        <v>0</v>
      </c>
      <c r="AE420" s="32">
        <f t="shared" si="6"/>
        <v>176179</v>
      </c>
    </row>
    <row r="421" spans="1:31" ht="12.75" customHeight="1">
      <c r="A421" s="1" t="s">
        <v>496</v>
      </c>
      <c r="C421" s="1" t="s">
        <v>102</v>
      </c>
      <c r="E421" s="16">
        <v>279036</v>
      </c>
      <c r="G421" s="16">
        <v>0</v>
      </c>
      <c r="I421" s="16">
        <v>155779</v>
      </c>
      <c r="K421" s="16">
        <v>0</v>
      </c>
      <c r="M421" s="16">
        <v>0</v>
      </c>
      <c r="O421" s="16">
        <v>85907</v>
      </c>
      <c r="Q421" s="16">
        <v>7073</v>
      </c>
      <c r="S421" s="16">
        <v>28411</v>
      </c>
      <c r="U421" s="16">
        <v>0</v>
      </c>
      <c r="W421" s="16">
        <v>0</v>
      </c>
      <c r="Y421" s="16">
        <v>10000</v>
      </c>
      <c r="AA421" s="16">
        <v>0</v>
      </c>
      <c r="AC421" s="16">
        <v>0</v>
      </c>
      <c r="AE421" s="32">
        <f t="shared" si="6"/>
        <v>566206</v>
      </c>
    </row>
    <row r="422" spans="1:31" ht="12.75" customHeight="1">
      <c r="A422" s="1" t="s">
        <v>724</v>
      </c>
      <c r="C422" s="1" t="s">
        <v>118</v>
      </c>
      <c r="E422" s="16">
        <v>17443</v>
      </c>
      <c r="G422" s="16">
        <v>119180</v>
      </c>
      <c r="I422" s="16">
        <v>88286</v>
      </c>
      <c r="K422" s="16">
        <v>0</v>
      </c>
      <c r="M422" s="16">
        <v>35922</v>
      </c>
      <c r="O422" s="16">
        <v>3344</v>
      </c>
      <c r="Q422" s="16">
        <v>1816</v>
      </c>
      <c r="S422" s="16">
        <v>22407</v>
      </c>
      <c r="U422" s="16">
        <v>0</v>
      </c>
      <c r="W422" s="16">
        <v>0</v>
      </c>
      <c r="Y422" s="16">
        <v>0</v>
      </c>
      <c r="AA422" s="16">
        <v>0</v>
      </c>
      <c r="AC422" s="16">
        <v>0</v>
      </c>
      <c r="AE422" s="32">
        <f t="shared" si="6"/>
        <v>288398</v>
      </c>
    </row>
    <row r="423" spans="1:31" ht="12.75" customHeight="1">
      <c r="A423" s="1" t="s">
        <v>501</v>
      </c>
      <c r="C423" s="1" t="s">
        <v>122</v>
      </c>
      <c r="E423" s="16">
        <v>37970</v>
      </c>
      <c r="G423" s="16">
        <v>0</v>
      </c>
      <c r="I423" s="16">
        <v>42352</v>
      </c>
      <c r="K423" s="16">
        <v>0</v>
      </c>
      <c r="M423" s="16">
        <v>0</v>
      </c>
      <c r="O423" s="16">
        <v>22487</v>
      </c>
      <c r="Q423" s="16">
        <v>8709</v>
      </c>
      <c r="S423" s="16">
        <v>5508</v>
      </c>
      <c r="U423" s="16">
        <v>0</v>
      </c>
      <c r="W423" s="16">
        <v>0</v>
      </c>
      <c r="Y423" s="16">
        <v>0</v>
      </c>
      <c r="AA423" s="16">
        <v>51933</v>
      </c>
      <c r="AC423" s="16">
        <v>0</v>
      </c>
      <c r="AE423" s="32">
        <f t="shared" si="6"/>
        <v>168959</v>
      </c>
    </row>
    <row r="424" spans="1:31" ht="12.75" customHeight="1">
      <c r="A424" s="1" t="s">
        <v>513</v>
      </c>
      <c r="C424" s="1" t="s">
        <v>160</v>
      </c>
      <c r="E424" s="16">
        <v>45911</v>
      </c>
      <c r="G424" s="16">
        <v>351608</v>
      </c>
      <c r="I424" s="16">
        <v>58929</v>
      </c>
      <c r="K424" s="16">
        <v>0</v>
      </c>
      <c r="M424" s="16">
        <v>700</v>
      </c>
      <c r="O424" s="16">
        <v>4844</v>
      </c>
      <c r="Q424" s="16">
        <v>4896</v>
      </c>
      <c r="S424" s="16">
        <v>32119</v>
      </c>
      <c r="U424" s="16">
        <v>0</v>
      </c>
      <c r="W424" s="16">
        <v>0</v>
      </c>
      <c r="Y424" s="16">
        <v>0</v>
      </c>
      <c r="AA424" s="16">
        <v>0</v>
      </c>
      <c r="AC424" s="16">
        <v>0</v>
      </c>
      <c r="AE424" s="32">
        <f t="shared" si="6"/>
        <v>499007</v>
      </c>
    </row>
    <row r="425" spans="1:31" ht="12.75" customHeight="1">
      <c r="A425" s="1" t="s">
        <v>507</v>
      </c>
      <c r="C425" s="1" t="s">
        <v>414</v>
      </c>
      <c r="E425" s="16">
        <v>96832</v>
      </c>
      <c r="G425" s="16">
        <v>0</v>
      </c>
      <c r="I425" s="16">
        <v>46480</v>
      </c>
      <c r="K425" s="16">
        <v>0</v>
      </c>
      <c r="M425" s="16">
        <v>662</v>
      </c>
      <c r="O425" s="16">
        <v>30681</v>
      </c>
      <c r="Q425" s="16">
        <v>412</v>
      </c>
      <c r="S425" s="16">
        <v>1484</v>
      </c>
      <c r="U425" s="16">
        <v>0</v>
      </c>
      <c r="W425" s="16">
        <v>0</v>
      </c>
      <c r="Y425" s="16">
        <v>70357</v>
      </c>
      <c r="AA425" s="16">
        <v>20000</v>
      </c>
      <c r="AC425" s="16">
        <v>0</v>
      </c>
      <c r="AE425" s="32">
        <f t="shared" si="6"/>
        <v>266908</v>
      </c>
    </row>
    <row r="426" spans="1:31" ht="12.75" customHeight="1">
      <c r="A426" s="1" t="s">
        <v>324</v>
      </c>
      <c r="C426" s="1" t="s">
        <v>78</v>
      </c>
      <c r="D426" s="16"/>
      <c r="E426" s="16">
        <v>3687</v>
      </c>
      <c r="G426" s="16">
        <v>0</v>
      </c>
      <c r="I426" s="16">
        <v>32703</v>
      </c>
      <c r="K426" s="16">
        <v>0</v>
      </c>
      <c r="M426" s="16">
        <v>0</v>
      </c>
      <c r="O426" s="16">
        <v>0</v>
      </c>
      <c r="Q426" s="16">
        <v>0</v>
      </c>
      <c r="S426" s="16">
        <v>392</v>
      </c>
      <c r="U426" s="16">
        <v>0</v>
      </c>
      <c r="W426" s="16">
        <v>0</v>
      </c>
      <c r="Y426" s="16">
        <v>0</v>
      </c>
      <c r="AA426" s="16">
        <v>0</v>
      </c>
      <c r="AC426" s="16">
        <v>0</v>
      </c>
      <c r="AE426" s="32">
        <f t="shared" si="6"/>
        <v>36782</v>
      </c>
    </row>
    <row r="427" spans="1:31" ht="12.75" customHeight="1">
      <c r="A427" s="1" t="s">
        <v>325</v>
      </c>
      <c r="C427" s="1" t="s">
        <v>112</v>
      </c>
      <c r="D427" s="16"/>
      <c r="E427" s="16">
        <v>102139</v>
      </c>
      <c r="G427" s="16">
        <v>721156</v>
      </c>
      <c r="I427" s="16">
        <v>155836</v>
      </c>
      <c r="K427" s="16">
        <v>0</v>
      </c>
      <c r="M427" s="16">
        <v>124622</v>
      </c>
      <c r="O427" s="16">
        <v>386595</v>
      </c>
      <c r="Q427" s="16">
        <v>1404</v>
      </c>
      <c r="S427" s="16">
        <v>26654</v>
      </c>
      <c r="U427" s="16">
        <v>0</v>
      </c>
      <c r="W427" s="16">
        <v>2108</v>
      </c>
      <c r="Y427" s="16">
        <v>0</v>
      </c>
      <c r="AA427" s="16">
        <v>0</v>
      </c>
      <c r="AC427" s="16">
        <v>0</v>
      </c>
      <c r="AE427" s="32">
        <f t="shared" si="6"/>
        <v>1520514</v>
      </c>
    </row>
    <row r="428" spans="1:31" ht="12.75" customHeight="1">
      <c r="A428" s="1" t="s">
        <v>326</v>
      </c>
      <c r="C428" s="1" t="s">
        <v>96</v>
      </c>
      <c r="D428" s="16"/>
      <c r="E428" s="16">
        <v>104058</v>
      </c>
      <c r="G428" s="16">
        <v>733964</v>
      </c>
      <c r="I428" s="16">
        <v>235566</v>
      </c>
      <c r="K428" s="16">
        <v>0</v>
      </c>
      <c r="M428" s="16">
        <v>788</v>
      </c>
      <c r="O428" s="16">
        <v>31327</v>
      </c>
      <c r="Q428" s="16">
        <v>25461</v>
      </c>
      <c r="S428" s="16">
        <v>16687</v>
      </c>
      <c r="U428" s="16">
        <v>0</v>
      </c>
      <c r="W428" s="16">
        <v>1914</v>
      </c>
      <c r="Y428" s="16">
        <v>0</v>
      </c>
      <c r="AA428" s="16">
        <v>0</v>
      </c>
      <c r="AC428" s="16">
        <v>0</v>
      </c>
      <c r="AE428" s="32">
        <f t="shared" si="6"/>
        <v>1149765</v>
      </c>
    </row>
    <row r="429" spans="1:31" ht="12.75" customHeight="1">
      <c r="A429" s="1" t="s">
        <v>495</v>
      </c>
      <c r="C429" s="1" t="s">
        <v>102</v>
      </c>
      <c r="E429" s="16">
        <v>14860</v>
      </c>
      <c r="G429" s="16">
        <v>0</v>
      </c>
      <c r="I429" s="16">
        <v>33688</v>
      </c>
      <c r="K429" s="16">
        <v>0</v>
      </c>
      <c r="M429" s="16">
        <v>0</v>
      </c>
      <c r="O429" s="16">
        <v>66019</v>
      </c>
      <c r="Q429" s="16">
        <v>1417</v>
      </c>
      <c r="S429" s="16">
        <v>0</v>
      </c>
      <c r="U429" s="16">
        <v>0</v>
      </c>
      <c r="W429" s="16">
        <v>0</v>
      </c>
      <c r="Y429" s="16">
        <v>0</v>
      </c>
      <c r="AA429" s="16">
        <v>0</v>
      </c>
      <c r="AC429" s="16">
        <v>43815</v>
      </c>
      <c r="AE429" s="32">
        <f t="shared" si="6"/>
        <v>159799</v>
      </c>
    </row>
    <row r="430" spans="1:31" ht="12.75" customHeight="1">
      <c r="A430" s="1" t="s">
        <v>327</v>
      </c>
      <c r="C430" s="1" t="s">
        <v>102</v>
      </c>
      <c r="D430" s="1"/>
      <c r="E430" s="16">
        <v>14860</v>
      </c>
      <c r="G430" s="16">
        <v>0</v>
      </c>
      <c r="I430" s="16">
        <v>33688</v>
      </c>
      <c r="K430" s="16">
        <v>0</v>
      </c>
      <c r="M430" s="16">
        <v>0</v>
      </c>
      <c r="O430" s="16">
        <v>66019</v>
      </c>
      <c r="Q430" s="16">
        <v>1417</v>
      </c>
      <c r="S430" s="16">
        <v>0</v>
      </c>
      <c r="U430" s="16">
        <v>0</v>
      </c>
      <c r="W430" s="16">
        <v>0</v>
      </c>
      <c r="Y430" s="16">
        <v>0</v>
      </c>
      <c r="AA430" s="16">
        <v>0</v>
      </c>
      <c r="AC430" s="16">
        <v>43815</v>
      </c>
      <c r="AE430" s="32">
        <f t="shared" si="6"/>
        <v>159799</v>
      </c>
    </row>
    <row r="431" spans="1:31" ht="12.75" customHeight="1">
      <c r="A431" s="1" t="s">
        <v>569</v>
      </c>
      <c r="C431" s="1" t="s">
        <v>73</v>
      </c>
      <c r="E431" s="16">
        <v>172598</v>
      </c>
      <c r="G431" s="16">
        <v>897444</v>
      </c>
      <c r="I431" s="16">
        <v>92235</v>
      </c>
      <c r="K431" s="16">
        <v>0</v>
      </c>
      <c r="M431" s="16">
        <v>214</v>
      </c>
      <c r="O431" s="16">
        <v>53983</v>
      </c>
      <c r="Q431" s="16">
        <v>36508</v>
      </c>
      <c r="S431" s="16">
        <v>33676</v>
      </c>
      <c r="U431" s="16">
        <v>0</v>
      </c>
      <c r="W431" s="16">
        <v>823</v>
      </c>
      <c r="Y431" s="16">
        <v>0</v>
      </c>
      <c r="AA431" s="16">
        <v>76000</v>
      </c>
      <c r="AC431" s="16">
        <v>0</v>
      </c>
      <c r="AE431" s="32">
        <f t="shared" si="6"/>
        <v>1363481</v>
      </c>
    </row>
    <row r="432" spans="1:31" ht="12.75" customHeight="1">
      <c r="A432" s="1" t="s">
        <v>524</v>
      </c>
      <c r="C432" s="1" t="s">
        <v>244</v>
      </c>
      <c r="E432" s="16">
        <v>9524</v>
      </c>
      <c r="G432" s="16">
        <v>0</v>
      </c>
      <c r="I432" s="16">
        <v>62556</v>
      </c>
      <c r="K432" s="16">
        <v>0</v>
      </c>
      <c r="M432" s="16">
        <v>0</v>
      </c>
      <c r="O432" s="16">
        <v>15</v>
      </c>
      <c r="Q432" s="16">
        <v>3524</v>
      </c>
      <c r="S432" s="16">
        <v>651</v>
      </c>
      <c r="U432" s="16">
        <v>0</v>
      </c>
      <c r="W432" s="16">
        <v>0</v>
      </c>
      <c r="Y432" s="16">
        <v>0</v>
      </c>
      <c r="AA432" s="16">
        <v>0</v>
      </c>
      <c r="AC432" s="16">
        <v>60</v>
      </c>
      <c r="AE432" s="32">
        <f t="shared" si="6"/>
        <v>76330</v>
      </c>
    </row>
    <row r="433" spans="1:31" ht="12.75" customHeight="1">
      <c r="A433" s="1" t="s">
        <v>328</v>
      </c>
      <c r="C433" s="1" t="s">
        <v>94</v>
      </c>
      <c r="D433" s="16"/>
      <c r="E433" s="16">
        <v>673112</v>
      </c>
      <c r="G433" s="16">
        <v>0</v>
      </c>
      <c r="I433" s="16">
        <v>107789</v>
      </c>
      <c r="K433" s="16">
        <v>0</v>
      </c>
      <c r="M433" s="16">
        <v>39590</v>
      </c>
      <c r="O433" s="16">
        <v>72867</v>
      </c>
      <c r="Q433" s="16">
        <v>30166</v>
      </c>
      <c r="S433" s="16">
        <v>6534</v>
      </c>
      <c r="U433" s="16">
        <v>0</v>
      </c>
      <c r="W433" s="16">
        <v>0</v>
      </c>
      <c r="Y433" s="16">
        <v>0</v>
      </c>
      <c r="AA433" s="16">
        <v>0</v>
      </c>
      <c r="AC433" s="16">
        <v>38</v>
      </c>
      <c r="AE433" s="32">
        <f t="shared" si="6"/>
        <v>930096</v>
      </c>
    </row>
    <row r="434" spans="1:31" ht="12.75" customHeight="1">
      <c r="A434" s="1" t="s">
        <v>570</v>
      </c>
      <c r="C434" s="1" t="s">
        <v>73</v>
      </c>
      <c r="E434" s="16">
        <v>186383</v>
      </c>
      <c r="G434" s="16">
        <v>0</v>
      </c>
      <c r="I434" s="16">
        <v>28060</v>
      </c>
      <c r="K434" s="16">
        <v>0</v>
      </c>
      <c r="M434" s="16">
        <v>2647</v>
      </c>
      <c r="O434" s="16">
        <v>12514</v>
      </c>
      <c r="Q434" s="16">
        <v>4633</v>
      </c>
      <c r="S434" s="16">
        <v>867</v>
      </c>
      <c r="U434" s="16">
        <v>0</v>
      </c>
      <c r="W434" s="16">
        <v>0</v>
      </c>
      <c r="Y434" s="16">
        <v>0</v>
      </c>
      <c r="AA434" s="16">
        <v>0</v>
      </c>
      <c r="AC434" s="16">
        <v>0</v>
      </c>
      <c r="AE434" s="32">
        <f t="shared" si="6"/>
        <v>235104</v>
      </c>
    </row>
    <row r="435" spans="1:31" ht="12.75" customHeight="1">
      <c r="A435" s="1" t="s">
        <v>594</v>
      </c>
      <c r="C435" s="1" t="s">
        <v>303</v>
      </c>
      <c r="E435" s="16">
        <v>20267</v>
      </c>
      <c r="G435" s="16">
        <v>0</v>
      </c>
      <c r="I435" s="16">
        <v>54621</v>
      </c>
      <c r="K435" s="16">
        <v>0</v>
      </c>
      <c r="M435" s="16">
        <v>17739</v>
      </c>
      <c r="O435" s="16">
        <v>2519</v>
      </c>
      <c r="Q435" s="16">
        <v>1469</v>
      </c>
      <c r="S435" s="16">
        <v>0</v>
      </c>
      <c r="U435" s="16">
        <v>0</v>
      </c>
      <c r="W435" s="16">
        <v>0</v>
      </c>
      <c r="Y435" s="16">
        <v>0</v>
      </c>
      <c r="AA435" s="16">
        <v>0</v>
      </c>
      <c r="AC435" s="16">
        <v>3674</v>
      </c>
      <c r="AE435" s="32">
        <f t="shared" si="6"/>
        <v>100289</v>
      </c>
    </row>
    <row r="436" spans="1:31" ht="12.75" customHeight="1">
      <c r="A436" s="1" t="s">
        <v>488</v>
      </c>
      <c r="C436" s="1" t="s">
        <v>194</v>
      </c>
      <c r="E436" s="16">
        <v>26395</v>
      </c>
      <c r="G436" s="16">
        <v>0</v>
      </c>
      <c r="I436" s="16">
        <v>5758</v>
      </c>
      <c r="K436" s="16">
        <v>0</v>
      </c>
      <c r="M436" s="16">
        <v>0</v>
      </c>
      <c r="O436" s="16">
        <v>105051</v>
      </c>
      <c r="Q436" s="16">
        <v>402</v>
      </c>
      <c r="S436" s="16">
        <v>2300</v>
      </c>
      <c r="U436" s="16">
        <v>0</v>
      </c>
      <c r="W436" s="16">
        <v>0</v>
      </c>
      <c r="Y436" s="16">
        <v>0</v>
      </c>
      <c r="AA436" s="16">
        <v>8657</v>
      </c>
      <c r="AC436" s="16">
        <v>0</v>
      </c>
      <c r="AE436" s="32">
        <f t="shared" si="6"/>
        <v>148563</v>
      </c>
    </row>
    <row r="437" spans="1:31" ht="12.75" customHeight="1">
      <c r="A437" s="1" t="s">
        <v>457</v>
      </c>
      <c r="C437" s="1" t="s">
        <v>76</v>
      </c>
      <c r="E437" s="16">
        <v>188610</v>
      </c>
      <c r="G437" s="16">
        <v>426770</v>
      </c>
      <c r="I437" s="16">
        <v>83875</v>
      </c>
      <c r="K437" s="16">
        <v>0</v>
      </c>
      <c r="M437" s="16">
        <v>9436</v>
      </c>
      <c r="O437" s="16">
        <v>75944</v>
      </c>
      <c r="Q437" s="16">
        <v>4092</v>
      </c>
      <c r="S437" s="16">
        <v>6267</v>
      </c>
      <c r="U437" s="16">
        <v>0</v>
      </c>
      <c r="W437" s="16">
        <v>0</v>
      </c>
      <c r="Y437" s="16">
        <v>0</v>
      </c>
      <c r="AA437" s="16">
        <v>0</v>
      </c>
      <c r="AC437" s="16">
        <v>0</v>
      </c>
      <c r="AE437" s="32">
        <f t="shared" si="6"/>
        <v>794994</v>
      </c>
    </row>
    <row r="438" spans="1:31" ht="12.75" customHeight="1">
      <c r="A438" s="1" t="s">
        <v>329</v>
      </c>
      <c r="C438" s="1" t="s">
        <v>312</v>
      </c>
      <c r="D438" s="1"/>
      <c r="E438" s="16">
        <v>19639</v>
      </c>
      <c r="G438" s="16">
        <v>186295</v>
      </c>
      <c r="I438" s="16">
        <v>79135</v>
      </c>
      <c r="K438" s="16">
        <v>274</v>
      </c>
      <c r="M438" s="16">
        <v>0</v>
      </c>
      <c r="O438" s="16">
        <v>18808</v>
      </c>
      <c r="Q438" s="16">
        <v>9721</v>
      </c>
      <c r="S438" s="16">
        <v>76438</v>
      </c>
      <c r="U438" s="16">
        <v>0</v>
      </c>
      <c r="W438" s="16">
        <v>0</v>
      </c>
      <c r="Y438" s="16">
        <v>0</v>
      </c>
      <c r="AA438" s="16">
        <v>0</v>
      </c>
      <c r="AC438" s="16">
        <v>6492</v>
      </c>
      <c r="AE438" s="32">
        <f t="shared" si="6"/>
        <v>396802</v>
      </c>
    </row>
    <row r="439" spans="1:31" ht="12.75" customHeight="1">
      <c r="A439" s="1" t="s">
        <v>607</v>
      </c>
      <c r="C439" s="1" t="s">
        <v>197</v>
      </c>
      <c r="E439" s="16">
        <v>604459</v>
      </c>
      <c r="G439" s="16">
        <v>6046</v>
      </c>
      <c r="I439" s="16">
        <v>660293</v>
      </c>
      <c r="K439" s="16">
        <v>0</v>
      </c>
      <c r="M439" s="16">
        <v>2192</v>
      </c>
      <c r="O439" s="16">
        <v>8769</v>
      </c>
      <c r="Q439" s="16">
        <v>316302</v>
      </c>
      <c r="S439" s="16">
        <v>10640</v>
      </c>
      <c r="U439" s="16">
        <v>0</v>
      </c>
      <c r="W439" s="16">
        <v>0</v>
      </c>
      <c r="Y439" s="16">
        <v>0</v>
      </c>
      <c r="AA439" s="16">
        <v>0</v>
      </c>
      <c r="AC439" s="16">
        <v>0</v>
      </c>
      <c r="AE439" s="32">
        <f t="shared" si="6"/>
        <v>1608701</v>
      </c>
    </row>
    <row r="440" spans="1:31" ht="12.75" customHeight="1">
      <c r="A440" s="1" t="s">
        <v>518</v>
      </c>
      <c r="C440" s="1" t="s">
        <v>112</v>
      </c>
      <c r="E440" s="16">
        <v>166868</v>
      </c>
      <c r="G440" s="16">
        <v>1512950</v>
      </c>
      <c r="I440" s="16">
        <v>97704</v>
      </c>
      <c r="K440" s="16">
        <v>295</v>
      </c>
      <c r="M440" s="16">
        <v>55912</v>
      </c>
      <c r="O440" s="16">
        <v>193479</v>
      </c>
      <c r="Q440" s="16">
        <v>37</v>
      </c>
      <c r="S440" s="16">
        <v>0</v>
      </c>
      <c r="U440" s="16">
        <v>0</v>
      </c>
      <c r="W440" s="16">
        <v>0</v>
      </c>
      <c r="Y440" s="16">
        <v>0</v>
      </c>
      <c r="AA440" s="16">
        <v>0</v>
      </c>
      <c r="AC440" s="16">
        <v>201839</v>
      </c>
      <c r="AE440" s="32">
        <f t="shared" si="6"/>
        <v>2229084</v>
      </c>
    </row>
    <row r="441" spans="1:31" ht="12.75" customHeight="1">
      <c r="A441" s="1" t="s">
        <v>330</v>
      </c>
      <c r="C441" s="1" t="s">
        <v>160</v>
      </c>
      <c r="D441" s="16"/>
      <c r="E441" s="16">
        <v>9329</v>
      </c>
      <c r="G441" s="16">
        <v>0</v>
      </c>
      <c r="I441" s="16">
        <v>13770</v>
      </c>
      <c r="K441" s="16">
        <v>0</v>
      </c>
      <c r="M441" s="16">
        <v>0</v>
      </c>
      <c r="O441" s="16">
        <v>5</v>
      </c>
      <c r="Q441" s="16">
        <v>369</v>
      </c>
      <c r="S441" s="16">
        <v>51</v>
      </c>
      <c r="U441" s="16">
        <v>0</v>
      </c>
      <c r="W441" s="16">
        <v>0</v>
      </c>
      <c r="Y441" s="16">
        <v>0</v>
      </c>
      <c r="AA441" s="16">
        <v>0</v>
      </c>
      <c r="AC441" s="16">
        <v>0</v>
      </c>
      <c r="AE441" s="32">
        <f t="shared" si="6"/>
        <v>23524</v>
      </c>
    </row>
    <row r="442" spans="1:31" ht="12.75" customHeight="1">
      <c r="A442" s="1" t="s">
        <v>331</v>
      </c>
      <c r="C442" s="1" t="s">
        <v>78</v>
      </c>
      <c r="D442" s="16"/>
      <c r="E442" s="16">
        <v>9041</v>
      </c>
      <c r="G442" s="16">
        <v>0</v>
      </c>
      <c r="I442" s="16">
        <v>25986</v>
      </c>
      <c r="K442" s="16">
        <v>4444</v>
      </c>
      <c r="M442" s="16">
        <v>3687</v>
      </c>
      <c r="O442" s="16">
        <v>0</v>
      </c>
      <c r="Q442" s="16">
        <v>1061</v>
      </c>
      <c r="S442" s="16">
        <v>6400</v>
      </c>
      <c r="U442" s="16">
        <v>0</v>
      </c>
      <c r="W442" s="16">
        <v>0</v>
      </c>
      <c r="Y442" s="16">
        <v>0</v>
      </c>
      <c r="AA442" s="16">
        <v>0</v>
      </c>
      <c r="AC442" s="16">
        <v>0</v>
      </c>
      <c r="AE442" s="32">
        <f t="shared" si="6"/>
        <v>50619</v>
      </c>
    </row>
    <row r="443" spans="1:31" ht="12.75" customHeight="1">
      <c r="A443" s="1" t="s">
        <v>332</v>
      </c>
      <c r="C443" s="1" t="s">
        <v>129</v>
      </c>
      <c r="D443" s="16"/>
      <c r="E443" s="16">
        <v>233185</v>
      </c>
      <c r="G443" s="16">
        <v>773734</v>
      </c>
      <c r="I443" s="16">
        <v>258673</v>
      </c>
      <c r="K443" s="16">
        <v>0</v>
      </c>
      <c r="M443" s="16">
        <v>0</v>
      </c>
      <c r="O443" s="16">
        <v>243426</v>
      </c>
      <c r="Q443" s="16">
        <v>3347</v>
      </c>
      <c r="S443" s="16">
        <v>92035</v>
      </c>
      <c r="U443" s="16">
        <v>100000</v>
      </c>
      <c r="W443" s="16">
        <v>0</v>
      </c>
      <c r="Y443" s="16">
        <v>0</v>
      </c>
      <c r="AA443" s="16">
        <v>0</v>
      </c>
      <c r="AC443" s="16">
        <v>0</v>
      </c>
      <c r="AE443" s="32">
        <f t="shared" si="6"/>
        <v>1704400</v>
      </c>
    </row>
    <row r="444" spans="1:31" ht="12.75" customHeight="1">
      <c r="A444" s="1" t="s">
        <v>670</v>
      </c>
      <c r="C444" s="1" t="s">
        <v>67</v>
      </c>
      <c r="E444" s="16">
        <v>10713</v>
      </c>
      <c r="G444" s="16">
        <v>0</v>
      </c>
      <c r="I444" s="16">
        <v>7153</v>
      </c>
      <c r="K444" s="16">
        <v>0</v>
      </c>
      <c r="M444" s="16">
        <v>50</v>
      </c>
      <c r="O444" s="16">
        <v>0</v>
      </c>
      <c r="Q444" s="16">
        <v>327</v>
      </c>
      <c r="S444" s="16">
        <v>225</v>
      </c>
      <c r="U444" s="16">
        <v>0</v>
      </c>
      <c r="W444" s="16">
        <v>100</v>
      </c>
      <c r="Y444" s="16">
        <v>0</v>
      </c>
      <c r="AA444" s="16">
        <v>0</v>
      </c>
      <c r="AC444" s="16">
        <v>0</v>
      </c>
      <c r="AE444" s="32">
        <f t="shared" si="6"/>
        <v>18568</v>
      </c>
    </row>
    <row r="445" spans="1:31" ht="12.75" customHeight="1">
      <c r="A445" s="1" t="s">
        <v>333</v>
      </c>
      <c r="C445" s="1" t="s">
        <v>215</v>
      </c>
      <c r="D445" s="16"/>
      <c r="E445" s="16">
        <v>127814</v>
      </c>
      <c r="G445" s="16">
        <v>527169</v>
      </c>
      <c r="I445" s="16">
        <v>134920</v>
      </c>
      <c r="K445" s="16">
        <v>389</v>
      </c>
      <c r="M445" s="16">
        <v>79613</v>
      </c>
      <c r="O445" s="16">
        <v>4775</v>
      </c>
      <c r="Q445" s="16">
        <v>48844</v>
      </c>
      <c r="S445" s="16">
        <v>106767</v>
      </c>
      <c r="U445" s="16">
        <v>0</v>
      </c>
      <c r="W445" s="16">
        <v>0</v>
      </c>
      <c r="Y445" s="16">
        <v>433</v>
      </c>
      <c r="AA445" s="16">
        <v>0</v>
      </c>
      <c r="AC445" s="16">
        <v>0</v>
      </c>
      <c r="AE445" s="32">
        <f t="shared" si="6"/>
        <v>1030724</v>
      </c>
    </row>
    <row r="446" spans="1:31" ht="12.75" customHeight="1">
      <c r="A446" s="1" t="s">
        <v>595</v>
      </c>
      <c r="C446" s="1" t="s">
        <v>596</v>
      </c>
      <c r="E446" s="16">
        <v>116320</v>
      </c>
      <c r="G446" s="16">
        <v>0</v>
      </c>
      <c r="I446" s="16">
        <v>51338</v>
      </c>
      <c r="K446" s="16">
        <v>0</v>
      </c>
      <c r="M446" s="16">
        <v>23776</v>
      </c>
      <c r="O446" s="16">
        <v>20296</v>
      </c>
      <c r="Q446" s="16">
        <v>3697</v>
      </c>
      <c r="S446" s="16">
        <v>34479</v>
      </c>
      <c r="U446" s="16">
        <v>0</v>
      </c>
      <c r="W446" s="16">
        <v>0</v>
      </c>
      <c r="Y446" s="16">
        <v>0</v>
      </c>
      <c r="AA446" s="16">
        <v>21836</v>
      </c>
      <c r="AC446" s="16">
        <v>0</v>
      </c>
      <c r="AE446" s="32">
        <f t="shared" si="6"/>
        <v>271742</v>
      </c>
    </row>
    <row r="447" spans="1:31" ht="12.75" customHeight="1">
      <c r="A447" s="1" t="s">
        <v>334</v>
      </c>
      <c r="C447" s="1" t="s">
        <v>112</v>
      </c>
      <c r="D447" s="16"/>
      <c r="E447" s="16">
        <v>3610235</v>
      </c>
      <c r="G447" s="16">
        <v>0</v>
      </c>
      <c r="I447" s="16">
        <v>354646</v>
      </c>
      <c r="K447" s="16">
        <v>0</v>
      </c>
      <c r="M447" s="16">
        <v>272190</v>
      </c>
      <c r="O447" s="16">
        <v>276131</v>
      </c>
      <c r="Q447" s="16">
        <v>0</v>
      </c>
      <c r="S447" s="16">
        <v>144264</v>
      </c>
      <c r="U447" s="16">
        <v>0</v>
      </c>
      <c r="W447" s="16">
        <v>16587</v>
      </c>
      <c r="Y447" s="16">
        <v>0</v>
      </c>
      <c r="AA447" s="16">
        <v>0</v>
      </c>
      <c r="AC447" s="16">
        <v>0</v>
      </c>
      <c r="AE447" s="32">
        <f t="shared" si="6"/>
        <v>4674053</v>
      </c>
    </row>
    <row r="448" spans="1:31" ht="12.75" customHeight="1">
      <c r="A448" s="1" t="s">
        <v>334</v>
      </c>
      <c r="C448" s="1" t="s">
        <v>82</v>
      </c>
      <c r="D448" s="16"/>
      <c r="E448" s="16">
        <v>7583</v>
      </c>
      <c r="G448" s="16">
        <v>80216</v>
      </c>
      <c r="I448" s="16">
        <v>111651</v>
      </c>
      <c r="K448" s="16">
        <v>0</v>
      </c>
      <c r="M448" s="16">
        <v>0</v>
      </c>
      <c r="O448" s="16">
        <v>3563</v>
      </c>
      <c r="Q448" s="16">
        <v>314</v>
      </c>
      <c r="S448" s="16">
        <v>5619</v>
      </c>
      <c r="U448" s="16">
        <v>0</v>
      </c>
      <c r="W448" s="16">
        <v>0</v>
      </c>
      <c r="Y448" s="16">
        <v>0</v>
      </c>
      <c r="AA448" s="16">
        <v>0</v>
      </c>
      <c r="AC448" s="16">
        <v>0</v>
      </c>
      <c r="AE448" s="32">
        <f t="shared" si="6"/>
        <v>208946</v>
      </c>
    </row>
    <row r="449" spans="1:31" ht="12.75" customHeight="1">
      <c r="A449" s="1" t="s">
        <v>546</v>
      </c>
      <c r="C449" s="1" t="s">
        <v>149</v>
      </c>
      <c r="E449" s="16">
        <v>333203</v>
      </c>
      <c r="G449" s="16">
        <v>2158302</v>
      </c>
      <c r="I449" s="16">
        <v>490302</v>
      </c>
      <c r="K449" s="16">
        <v>0</v>
      </c>
      <c r="M449" s="16">
        <v>10049</v>
      </c>
      <c r="O449" s="16">
        <v>337891</v>
      </c>
      <c r="Q449" s="16">
        <v>87930</v>
      </c>
      <c r="S449" s="16">
        <v>198853</v>
      </c>
      <c r="U449" s="16">
        <v>0</v>
      </c>
      <c r="W449" s="16">
        <v>0</v>
      </c>
      <c r="Y449" s="16">
        <v>0</v>
      </c>
      <c r="AA449" s="16">
        <v>0</v>
      </c>
      <c r="AC449" s="16">
        <v>0</v>
      </c>
      <c r="AE449" s="32">
        <f t="shared" si="6"/>
        <v>3616530</v>
      </c>
    </row>
    <row r="450" spans="1:31" ht="12.75" customHeight="1">
      <c r="A450" s="1" t="s">
        <v>540</v>
      </c>
      <c r="C450" s="1" t="s">
        <v>200</v>
      </c>
      <c r="E450" s="16">
        <v>38257</v>
      </c>
      <c r="G450" s="16">
        <v>37443</v>
      </c>
      <c r="I450" s="16">
        <v>3074</v>
      </c>
      <c r="K450" s="16">
        <v>0</v>
      </c>
      <c r="M450" s="16">
        <v>0</v>
      </c>
      <c r="O450" s="16">
        <v>852</v>
      </c>
      <c r="Q450" s="16">
        <v>539</v>
      </c>
      <c r="S450" s="16">
        <v>5790</v>
      </c>
      <c r="U450" s="16">
        <v>0</v>
      </c>
      <c r="W450" s="16">
        <v>3000</v>
      </c>
      <c r="Y450" s="16">
        <v>0</v>
      </c>
      <c r="AA450" s="16">
        <v>0</v>
      </c>
      <c r="AC450" s="16">
        <v>0</v>
      </c>
      <c r="AE450" s="32">
        <f t="shared" si="6"/>
        <v>88955</v>
      </c>
    </row>
    <row r="451" spans="1:31" ht="12.75" customHeight="1">
      <c r="A451" s="1" t="s">
        <v>335</v>
      </c>
      <c r="C451" s="1" t="s">
        <v>192</v>
      </c>
      <c r="D451" s="16"/>
      <c r="E451" s="16">
        <v>33728</v>
      </c>
      <c r="G451" s="16">
        <v>0</v>
      </c>
      <c r="I451" s="16">
        <v>42373</v>
      </c>
      <c r="K451" s="16">
        <v>0</v>
      </c>
      <c r="M451" s="16">
        <v>35798</v>
      </c>
      <c r="O451" s="16">
        <v>200</v>
      </c>
      <c r="Q451" s="16">
        <v>2542</v>
      </c>
      <c r="S451" s="16">
        <v>11014</v>
      </c>
      <c r="U451" s="16">
        <v>0</v>
      </c>
      <c r="W451" s="16">
        <v>0</v>
      </c>
      <c r="Y451" s="16">
        <v>34647</v>
      </c>
      <c r="AA451" s="16">
        <v>0</v>
      </c>
      <c r="AC451" s="16">
        <v>0</v>
      </c>
      <c r="AE451" s="32">
        <f t="shared" si="6"/>
        <v>160302</v>
      </c>
    </row>
    <row r="452" spans="1:31" ht="12.75" customHeight="1">
      <c r="A452" s="1" t="s">
        <v>336</v>
      </c>
      <c r="C452" s="1" t="s">
        <v>112</v>
      </c>
      <c r="D452" s="16"/>
      <c r="E452" s="16">
        <v>822663</v>
      </c>
      <c r="G452" s="16">
        <v>2546213</v>
      </c>
      <c r="I452" s="16">
        <v>117343</v>
      </c>
      <c r="K452" s="16">
        <v>0</v>
      </c>
      <c r="M452" s="16">
        <v>190060</v>
      </c>
      <c r="O452" s="16">
        <v>296603</v>
      </c>
      <c r="Q452" s="16">
        <v>26896</v>
      </c>
      <c r="S452" s="16">
        <v>2448</v>
      </c>
      <c r="U452" s="16">
        <v>0</v>
      </c>
      <c r="W452" s="16">
        <v>0</v>
      </c>
      <c r="Y452" s="16">
        <v>0</v>
      </c>
      <c r="AA452" s="16">
        <v>144847</v>
      </c>
      <c r="AC452" s="16">
        <v>0</v>
      </c>
      <c r="AE452" s="32">
        <f t="shared" si="6"/>
        <v>4147073</v>
      </c>
    </row>
    <row r="453" spans="1:31" ht="12.75" customHeight="1">
      <c r="A453" s="1" t="s">
        <v>735</v>
      </c>
      <c r="C453" s="1" t="s">
        <v>276</v>
      </c>
      <c r="E453" s="16">
        <v>11113</v>
      </c>
      <c r="G453" s="16">
        <v>0</v>
      </c>
      <c r="I453" s="16">
        <v>6854</v>
      </c>
      <c r="K453" s="16">
        <v>0</v>
      </c>
      <c r="M453" s="16">
        <v>0</v>
      </c>
      <c r="O453" s="16">
        <v>0</v>
      </c>
      <c r="Q453" s="16">
        <v>130</v>
      </c>
      <c r="S453" s="16">
        <v>2888</v>
      </c>
      <c r="U453" s="16">
        <v>0</v>
      </c>
      <c r="W453" s="16">
        <v>0</v>
      </c>
      <c r="Y453" s="16">
        <v>0</v>
      </c>
      <c r="AA453" s="16">
        <v>0</v>
      </c>
      <c r="AC453" s="16">
        <v>0</v>
      </c>
      <c r="AE453" s="32">
        <f t="shared" si="6"/>
        <v>20985</v>
      </c>
    </row>
    <row r="454" spans="1:31" ht="12.75" customHeight="1">
      <c r="A454" s="1" t="s">
        <v>687</v>
      </c>
      <c r="C454" s="1" t="s">
        <v>184</v>
      </c>
      <c r="E454" s="16">
        <v>5195</v>
      </c>
      <c r="G454" s="16">
        <v>0</v>
      </c>
      <c r="I454" s="16">
        <v>28274</v>
      </c>
      <c r="K454" s="16">
        <v>0</v>
      </c>
      <c r="M454" s="16">
        <v>0</v>
      </c>
      <c r="O454" s="16">
        <v>352</v>
      </c>
      <c r="Q454" s="16">
        <v>1959</v>
      </c>
      <c r="S454" s="16">
        <v>13183</v>
      </c>
      <c r="U454" s="16">
        <v>0</v>
      </c>
      <c r="W454" s="16">
        <v>0</v>
      </c>
      <c r="Y454" s="16">
        <v>0</v>
      </c>
      <c r="AA454" s="16">
        <v>0</v>
      </c>
      <c r="AC454" s="16">
        <v>0</v>
      </c>
      <c r="AE454" s="32">
        <f t="shared" si="6"/>
        <v>48963</v>
      </c>
    </row>
    <row r="455" spans="1:31" ht="12.75" customHeight="1">
      <c r="A455" s="1" t="s">
        <v>440</v>
      </c>
      <c r="C455" s="1" t="s">
        <v>76</v>
      </c>
      <c r="E455" s="16">
        <v>93072</v>
      </c>
      <c r="G455" s="16">
        <v>0</v>
      </c>
      <c r="I455" s="16">
        <v>30162</v>
      </c>
      <c r="K455" s="16">
        <v>0</v>
      </c>
      <c r="M455" s="16">
        <v>52653</v>
      </c>
      <c r="O455" s="16">
        <v>3407</v>
      </c>
      <c r="Q455" s="16">
        <v>5848</v>
      </c>
      <c r="S455" s="16">
        <v>27462</v>
      </c>
      <c r="U455" s="16">
        <v>0</v>
      </c>
      <c r="W455" s="16">
        <v>96365</v>
      </c>
      <c r="Y455" s="16">
        <v>554990</v>
      </c>
      <c r="AA455" s="16">
        <v>0</v>
      </c>
      <c r="AC455" s="16">
        <v>0</v>
      </c>
      <c r="AE455" s="32">
        <f t="shared" si="6"/>
        <v>863959</v>
      </c>
    </row>
    <row r="456" spans="1:31" ht="12.75" customHeight="1">
      <c r="A456" s="1" t="s">
        <v>337</v>
      </c>
      <c r="C456" s="1" t="s">
        <v>78</v>
      </c>
      <c r="D456" s="16"/>
      <c r="E456" s="16">
        <v>7587</v>
      </c>
      <c r="G456" s="16">
        <v>0</v>
      </c>
      <c r="I456" s="16">
        <v>37058</v>
      </c>
      <c r="K456" s="16">
        <v>0</v>
      </c>
      <c r="M456" s="16">
        <v>0</v>
      </c>
      <c r="O456" s="16">
        <v>0</v>
      </c>
      <c r="Q456" s="16">
        <v>2625</v>
      </c>
      <c r="S456" s="16">
        <v>2681</v>
      </c>
      <c r="U456" s="16">
        <v>0</v>
      </c>
      <c r="W456" s="16">
        <v>0</v>
      </c>
      <c r="Y456" s="16">
        <v>0</v>
      </c>
      <c r="AA456" s="16">
        <v>0</v>
      </c>
      <c r="AC456" s="16">
        <v>0</v>
      </c>
      <c r="AE456" s="32">
        <f t="shared" si="6"/>
        <v>49951</v>
      </c>
    </row>
    <row r="457" spans="1:31" ht="12.75" customHeight="1">
      <c r="A457" s="1" t="s">
        <v>338</v>
      </c>
      <c r="C457" s="1" t="s">
        <v>90</v>
      </c>
      <c r="D457" s="16"/>
      <c r="E457" s="16">
        <v>7474</v>
      </c>
      <c r="G457" s="16">
        <v>0</v>
      </c>
      <c r="I457" s="16">
        <v>32548</v>
      </c>
      <c r="K457" s="16">
        <v>0</v>
      </c>
      <c r="M457" s="16">
        <v>0</v>
      </c>
      <c r="O457" s="16">
        <v>40225</v>
      </c>
      <c r="Q457" s="16">
        <v>0</v>
      </c>
      <c r="S457" s="16">
        <v>10600</v>
      </c>
      <c r="U457" s="16">
        <v>0</v>
      </c>
      <c r="W457" s="16">
        <v>0</v>
      </c>
      <c r="Y457" s="16">
        <v>1192</v>
      </c>
      <c r="AA457" s="16">
        <v>0</v>
      </c>
      <c r="AC457" s="16">
        <v>0</v>
      </c>
      <c r="AE457" s="32">
        <f t="shared" si="6"/>
        <v>92039</v>
      </c>
    </row>
    <row r="458" spans="1:31" ht="12.75" customHeight="1">
      <c r="A458" s="1" t="s">
        <v>215</v>
      </c>
      <c r="C458" s="1" t="s">
        <v>110</v>
      </c>
      <c r="E458" s="16">
        <v>228425</v>
      </c>
      <c r="G458" s="16">
        <v>0</v>
      </c>
      <c r="I458" s="16">
        <v>187188</v>
      </c>
      <c r="K458" s="16">
        <v>258</v>
      </c>
      <c r="M458" s="16">
        <v>45950</v>
      </c>
      <c r="O458" s="16">
        <v>35075</v>
      </c>
      <c r="Q458" s="16">
        <v>130721</v>
      </c>
      <c r="S458" s="16">
        <v>908291</v>
      </c>
      <c r="U458" s="16">
        <v>0</v>
      </c>
      <c r="W458" s="16">
        <v>0</v>
      </c>
      <c r="Y458" s="16">
        <v>0</v>
      </c>
      <c r="AA458" s="16">
        <v>0</v>
      </c>
      <c r="AC458" s="16">
        <v>0</v>
      </c>
      <c r="AE458" s="32">
        <f t="shared" si="6"/>
        <v>1535908</v>
      </c>
    </row>
    <row r="459" spans="1:31" ht="12.75" customHeight="1">
      <c r="A459" s="1" t="s">
        <v>339</v>
      </c>
      <c r="C459" s="1" t="s">
        <v>250</v>
      </c>
      <c r="D459" s="16"/>
      <c r="E459" s="16">
        <v>539768</v>
      </c>
      <c r="G459" s="16">
        <v>0</v>
      </c>
      <c r="I459" s="16">
        <v>1586181</v>
      </c>
      <c r="K459" s="16">
        <v>0</v>
      </c>
      <c r="M459" s="16">
        <v>61990</v>
      </c>
      <c r="O459" s="16">
        <v>62352</v>
      </c>
      <c r="Q459" s="16">
        <v>0</v>
      </c>
      <c r="S459" s="16">
        <v>547108</v>
      </c>
      <c r="U459" s="16">
        <v>0</v>
      </c>
      <c r="W459" s="16">
        <v>2029</v>
      </c>
      <c r="Y459" s="16">
        <v>1000000</v>
      </c>
      <c r="AA459" s="16">
        <v>0</v>
      </c>
      <c r="AC459" s="16">
        <v>153135</v>
      </c>
      <c r="AE459" s="32">
        <f t="shared" si="6"/>
        <v>3952563</v>
      </c>
    </row>
    <row r="460" spans="1:31" ht="12.75" customHeight="1">
      <c r="A460" s="1" t="s">
        <v>708</v>
      </c>
      <c r="C460" s="1" t="s">
        <v>110</v>
      </c>
      <c r="E460" s="16">
        <v>53345</v>
      </c>
      <c r="G460" s="16">
        <v>387744</v>
      </c>
      <c r="I460" s="16">
        <v>56307</v>
      </c>
      <c r="K460" s="16">
        <v>0</v>
      </c>
      <c r="M460" s="16">
        <v>19643</v>
      </c>
      <c r="O460" s="16">
        <v>256</v>
      </c>
      <c r="Q460" s="16">
        <v>8634</v>
      </c>
      <c r="S460" s="16">
        <v>18116</v>
      </c>
      <c r="U460" s="16">
        <v>0</v>
      </c>
      <c r="W460" s="16">
        <v>0</v>
      </c>
      <c r="Y460" s="16">
        <v>0</v>
      </c>
      <c r="AA460" s="16">
        <v>0</v>
      </c>
      <c r="AC460" s="16">
        <v>0</v>
      </c>
      <c r="AE460" s="32">
        <f t="shared" si="6"/>
        <v>544045</v>
      </c>
    </row>
    <row r="461" spans="1:31" ht="12.75" customHeight="1">
      <c r="A461" s="1" t="s">
        <v>720</v>
      </c>
      <c r="C461" s="1" t="s">
        <v>318</v>
      </c>
      <c r="E461" s="16">
        <v>4056</v>
      </c>
      <c r="G461" s="16">
        <v>0</v>
      </c>
      <c r="I461" s="16">
        <v>2068</v>
      </c>
      <c r="K461" s="16">
        <v>0</v>
      </c>
      <c r="M461" s="16">
        <v>0</v>
      </c>
      <c r="O461" s="16">
        <v>40</v>
      </c>
      <c r="Q461" s="16">
        <v>93</v>
      </c>
      <c r="S461" s="16">
        <v>10181</v>
      </c>
      <c r="U461" s="16">
        <v>0</v>
      </c>
      <c r="W461" s="16">
        <v>0</v>
      </c>
      <c r="Y461" s="16">
        <v>0</v>
      </c>
      <c r="AA461" s="16">
        <v>0</v>
      </c>
      <c r="AC461" s="16">
        <v>0</v>
      </c>
      <c r="AE461" s="32">
        <f t="shared" si="6"/>
        <v>16438</v>
      </c>
    </row>
    <row r="462" spans="1:31" ht="12.75" customHeight="1">
      <c r="A462" s="1" t="s">
        <v>784</v>
      </c>
      <c r="D462" s="1"/>
      <c r="E462" s="1"/>
      <c r="F462" s="1"/>
      <c r="G462" s="1"/>
      <c r="AA462" s="16"/>
      <c r="AC462" s="16"/>
      <c r="AE462" s="32" t="s">
        <v>785</v>
      </c>
    </row>
    <row r="463" spans="1:44" s="36" customFormat="1" ht="12.75" customHeight="1">
      <c r="A463" s="36" t="s">
        <v>497</v>
      </c>
      <c r="C463" s="36" t="s">
        <v>102</v>
      </c>
      <c r="D463" s="42"/>
      <c r="E463" s="36">
        <v>46321</v>
      </c>
      <c r="G463" s="36">
        <v>0</v>
      </c>
      <c r="I463" s="36">
        <v>106316</v>
      </c>
      <c r="K463" s="36">
        <v>0</v>
      </c>
      <c r="M463" s="36">
        <v>0</v>
      </c>
      <c r="O463" s="36">
        <v>59055</v>
      </c>
      <c r="Q463" s="36">
        <v>2394</v>
      </c>
      <c r="S463" s="36">
        <v>5819</v>
      </c>
      <c r="U463" s="36">
        <v>0</v>
      </c>
      <c r="W463" s="36">
        <v>0</v>
      </c>
      <c r="Y463" s="36">
        <v>0</v>
      </c>
      <c r="AA463" s="36">
        <v>0</v>
      </c>
      <c r="AB463" s="37"/>
      <c r="AC463" s="36">
        <v>0</v>
      </c>
      <c r="AD463" s="37"/>
      <c r="AE463" s="38">
        <f t="shared" si="6"/>
        <v>219905</v>
      </c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</row>
    <row r="464" spans="1:44" s="16" customFormat="1" ht="12.75" customHeight="1">
      <c r="A464" s="16" t="s">
        <v>340</v>
      </c>
      <c r="C464" s="16" t="s">
        <v>78</v>
      </c>
      <c r="E464" s="16">
        <v>2632</v>
      </c>
      <c r="G464" s="16">
        <v>0</v>
      </c>
      <c r="I464" s="16">
        <v>32853</v>
      </c>
      <c r="K464" s="16">
        <v>0</v>
      </c>
      <c r="M464" s="16">
        <v>0</v>
      </c>
      <c r="O464" s="16">
        <v>0</v>
      </c>
      <c r="Q464" s="16">
        <v>228</v>
      </c>
      <c r="S464" s="16">
        <v>182</v>
      </c>
      <c r="U464" s="16">
        <v>0</v>
      </c>
      <c r="W464" s="16">
        <v>0</v>
      </c>
      <c r="Y464" s="16">
        <v>0</v>
      </c>
      <c r="AA464" s="16">
        <v>0</v>
      </c>
      <c r="AB464" s="20"/>
      <c r="AC464" s="16">
        <v>0</v>
      </c>
      <c r="AD464" s="20"/>
      <c r="AE464" s="32">
        <f aca="true" t="shared" si="7" ref="AE464:AE528">SUM(E464:AC464)</f>
        <v>35895</v>
      </c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</row>
    <row r="465" spans="1:31" ht="12.75" customHeight="1">
      <c r="A465" s="1" t="s">
        <v>341</v>
      </c>
      <c r="C465" s="1" t="s">
        <v>110</v>
      </c>
      <c r="D465" s="16"/>
      <c r="E465" s="16">
        <v>29220</v>
      </c>
      <c r="G465" s="16">
        <v>108457</v>
      </c>
      <c r="I465" s="16">
        <v>69286</v>
      </c>
      <c r="K465" s="16">
        <v>0</v>
      </c>
      <c r="M465" s="16">
        <v>0</v>
      </c>
      <c r="O465" s="16">
        <v>4050</v>
      </c>
      <c r="Q465" s="16">
        <v>5319</v>
      </c>
      <c r="S465" s="16">
        <v>21944</v>
      </c>
      <c r="U465" s="16">
        <v>0</v>
      </c>
      <c r="W465" s="16">
        <v>0</v>
      </c>
      <c r="Y465" s="16">
        <v>0</v>
      </c>
      <c r="AA465" s="16">
        <v>0</v>
      </c>
      <c r="AC465" s="16">
        <v>0</v>
      </c>
      <c r="AE465" s="32">
        <f t="shared" si="7"/>
        <v>238276</v>
      </c>
    </row>
    <row r="466" spans="1:31" ht="12.75" customHeight="1">
      <c r="A466" s="1" t="s">
        <v>342</v>
      </c>
      <c r="C466" s="1" t="s">
        <v>96</v>
      </c>
      <c r="D466" s="16"/>
      <c r="E466" s="16">
        <v>10185</v>
      </c>
      <c r="G466" s="16">
        <v>0</v>
      </c>
      <c r="I466" s="16">
        <v>8183</v>
      </c>
      <c r="K466" s="16">
        <v>0</v>
      </c>
      <c r="M466" s="16">
        <v>0</v>
      </c>
      <c r="O466" s="16">
        <v>5</v>
      </c>
      <c r="Q466" s="16">
        <v>366</v>
      </c>
      <c r="S466" s="16">
        <v>303</v>
      </c>
      <c r="U466" s="16">
        <v>0</v>
      </c>
      <c r="W466" s="16">
        <v>0</v>
      </c>
      <c r="Y466" s="16">
        <v>0</v>
      </c>
      <c r="AA466" s="16">
        <v>0</v>
      </c>
      <c r="AC466" s="16">
        <v>0</v>
      </c>
      <c r="AE466" s="32">
        <f t="shared" si="7"/>
        <v>19042</v>
      </c>
    </row>
    <row r="467" spans="1:31" ht="12.75" customHeight="1">
      <c r="A467" s="1" t="s">
        <v>343</v>
      </c>
      <c r="C467" s="1" t="s">
        <v>65</v>
      </c>
      <c r="D467" s="16"/>
      <c r="E467" s="16">
        <v>1140</v>
      </c>
      <c r="G467" s="16">
        <v>0</v>
      </c>
      <c r="I467" s="16">
        <v>4109</v>
      </c>
      <c r="K467" s="16">
        <v>0</v>
      </c>
      <c r="M467" s="16">
        <v>0</v>
      </c>
      <c r="O467" s="16">
        <v>0</v>
      </c>
      <c r="Q467" s="16">
        <v>37</v>
      </c>
      <c r="S467" s="16">
        <v>611</v>
      </c>
      <c r="U467" s="16">
        <v>0</v>
      </c>
      <c r="W467" s="16">
        <v>0</v>
      </c>
      <c r="Y467" s="16">
        <v>0</v>
      </c>
      <c r="AA467" s="16">
        <v>0</v>
      </c>
      <c r="AC467" s="16">
        <v>0</v>
      </c>
      <c r="AE467" s="32">
        <f t="shared" si="7"/>
        <v>5897</v>
      </c>
    </row>
    <row r="468" spans="1:31" ht="12.75" customHeight="1">
      <c r="A468" s="1" t="s">
        <v>82</v>
      </c>
      <c r="C468" s="1" t="s">
        <v>82</v>
      </c>
      <c r="D468" s="16"/>
      <c r="E468" s="16">
        <v>154265</v>
      </c>
      <c r="G468" s="16">
        <v>439161</v>
      </c>
      <c r="I468" s="16">
        <v>93743</v>
      </c>
      <c r="K468" s="16">
        <v>1056</v>
      </c>
      <c r="M468" s="16">
        <v>11307</v>
      </c>
      <c r="O468" s="16">
        <v>26749</v>
      </c>
      <c r="Q468" s="16">
        <v>12349</v>
      </c>
      <c r="S468" s="16">
        <v>12789</v>
      </c>
      <c r="U468" s="16">
        <v>0</v>
      </c>
      <c r="W468" s="16">
        <v>0</v>
      </c>
      <c r="Y468" s="16">
        <v>0</v>
      </c>
      <c r="AA468" s="16">
        <v>0</v>
      </c>
      <c r="AC468" s="16">
        <v>0</v>
      </c>
      <c r="AE468" s="32">
        <f t="shared" si="7"/>
        <v>751419</v>
      </c>
    </row>
    <row r="469" spans="1:31" ht="12.75" customHeight="1">
      <c r="A469" s="1" t="s">
        <v>344</v>
      </c>
      <c r="C469" s="1" t="s">
        <v>82</v>
      </c>
      <c r="D469" s="16"/>
      <c r="E469" s="16">
        <v>62626</v>
      </c>
      <c r="G469" s="16">
        <v>0</v>
      </c>
      <c r="I469" s="16">
        <v>63598</v>
      </c>
      <c r="K469" s="16">
        <v>0</v>
      </c>
      <c r="M469" s="16">
        <v>0</v>
      </c>
      <c r="O469" s="16">
        <v>2955</v>
      </c>
      <c r="Q469" s="16">
        <v>1122</v>
      </c>
      <c r="S469" s="16">
        <v>5512</v>
      </c>
      <c r="U469" s="16">
        <v>0</v>
      </c>
      <c r="W469" s="16">
        <v>0</v>
      </c>
      <c r="Y469" s="16">
        <v>0</v>
      </c>
      <c r="AA469" s="16">
        <v>0</v>
      </c>
      <c r="AC469" s="16">
        <v>0</v>
      </c>
      <c r="AE469" s="32">
        <f t="shared" si="7"/>
        <v>135813</v>
      </c>
    </row>
    <row r="470" spans="1:31" ht="12.75" customHeight="1">
      <c r="A470" s="1" t="s">
        <v>345</v>
      </c>
      <c r="C470" s="30" t="s">
        <v>346</v>
      </c>
      <c r="D470" s="1"/>
      <c r="E470" s="16">
        <v>107954</v>
      </c>
      <c r="G470" s="16">
        <v>0</v>
      </c>
      <c r="I470" s="16">
        <v>29717</v>
      </c>
      <c r="K470" s="16">
        <v>0</v>
      </c>
      <c r="M470" s="16">
        <v>8432</v>
      </c>
      <c r="O470" s="16">
        <v>45922</v>
      </c>
      <c r="Q470" s="16">
        <v>2186</v>
      </c>
      <c r="S470" s="16">
        <v>13463</v>
      </c>
      <c r="U470" s="16">
        <v>0</v>
      </c>
      <c r="W470" s="16">
        <v>0</v>
      </c>
      <c r="Y470" s="16">
        <v>0</v>
      </c>
      <c r="AA470" s="16">
        <v>0</v>
      </c>
      <c r="AC470" s="16">
        <v>0</v>
      </c>
      <c r="AE470" s="32">
        <f t="shared" si="7"/>
        <v>207674</v>
      </c>
    </row>
    <row r="471" spans="1:31" ht="12.75" customHeight="1">
      <c r="A471" s="1" t="s">
        <v>774</v>
      </c>
      <c r="C471" s="1" t="s">
        <v>94</v>
      </c>
      <c r="E471" s="16">
        <v>119274</v>
      </c>
      <c r="G471" s="16">
        <v>0</v>
      </c>
      <c r="I471" s="16">
        <v>37300</v>
      </c>
      <c r="K471" s="16">
        <v>0</v>
      </c>
      <c r="M471" s="16">
        <v>0</v>
      </c>
      <c r="O471" s="16">
        <v>13738</v>
      </c>
      <c r="Q471" s="16">
        <v>24291</v>
      </c>
      <c r="S471" s="16">
        <v>11296</v>
      </c>
      <c r="U471" s="16">
        <v>0</v>
      </c>
      <c r="W471" s="16">
        <v>0</v>
      </c>
      <c r="Y471" s="16">
        <v>165000</v>
      </c>
      <c r="AA471" s="16">
        <v>0</v>
      </c>
      <c r="AC471" s="16">
        <v>0</v>
      </c>
      <c r="AE471" s="32">
        <f t="shared" si="7"/>
        <v>370899</v>
      </c>
    </row>
    <row r="472" spans="1:31" ht="12.75" customHeight="1">
      <c r="A472" s="1" t="s">
        <v>347</v>
      </c>
      <c r="C472" s="1" t="s">
        <v>129</v>
      </c>
      <c r="D472" s="16"/>
      <c r="E472" s="16">
        <f>10863+1084+115</f>
        <v>12062</v>
      </c>
      <c r="G472" s="16">
        <v>266878</v>
      </c>
      <c r="I472" s="16">
        <f>138786+5572+19+2902+3160+47+70+1215+28910</f>
        <v>180681</v>
      </c>
      <c r="K472" s="16">
        <v>0</v>
      </c>
      <c r="M472" s="16">
        <f>896+6518</f>
        <v>7414</v>
      </c>
      <c r="O472" s="16">
        <f>2745+69+42686+29000+521+895+90</f>
        <v>76006</v>
      </c>
      <c r="Q472" s="16">
        <v>1981</v>
      </c>
      <c r="S472" s="16">
        <f>2418+91</f>
        <v>2509</v>
      </c>
      <c r="U472" s="16">
        <v>0</v>
      </c>
      <c r="W472" s="16">
        <v>4944</v>
      </c>
      <c r="Y472" s="16">
        <v>0</v>
      </c>
      <c r="AA472" s="16">
        <v>54725</v>
      </c>
      <c r="AC472" s="16">
        <v>50</v>
      </c>
      <c r="AE472" s="32">
        <f t="shared" si="7"/>
        <v>607250</v>
      </c>
    </row>
    <row r="473" spans="1:31" ht="12.75" customHeight="1">
      <c r="A473" s="1" t="s">
        <v>348</v>
      </c>
      <c r="C473" s="1" t="s">
        <v>197</v>
      </c>
      <c r="D473" s="16"/>
      <c r="E473" s="16">
        <f>65967</f>
        <v>65967</v>
      </c>
      <c r="G473" s="16">
        <v>594735</v>
      </c>
      <c r="I473" s="16">
        <f>283072</f>
        <v>283072</v>
      </c>
      <c r="K473" s="16">
        <v>0</v>
      </c>
      <c r="M473" s="16">
        <v>0</v>
      </c>
      <c r="O473" s="16">
        <f>4592+19592</f>
        <v>24184</v>
      </c>
      <c r="Q473" s="16">
        <v>9582</v>
      </c>
      <c r="S473" s="16">
        <v>25324</v>
      </c>
      <c r="U473" s="16">
        <v>0</v>
      </c>
      <c r="W473" s="16">
        <v>0</v>
      </c>
      <c r="Y473" s="16">
        <v>12000</v>
      </c>
      <c r="AA473" s="16">
        <v>0</v>
      </c>
      <c r="AC473" s="16">
        <v>36000</v>
      </c>
      <c r="AE473" s="32">
        <f t="shared" si="7"/>
        <v>1050864</v>
      </c>
    </row>
    <row r="474" spans="1:31" ht="12.75" customHeight="1">
      <c r="A474" s="1" t="s">
        <v>349</v>
      </c>
      <c r="C474" s="30" t="s">
        <v>92</v>
      </c>
      <c r="D474" s="1"/>
      <c r="E474" s="16">
        <v>25394</v>
      </c>
      <c r="G474" s="16">
        <v>177721</v>
      </c>
      <c r="I474" s="16">
        <v>50105</v>
      </c>
      <c r="K474" s="16">
        <v>0</v>
      </c>
      <c r="M474" s="16">
        <v>0</v>
      </c>
      <c r="O474" s="16">
        <v>6594</v>
      </c>
      <c r="Q474" s="16">
        <v>233</v>
      </c>
      <c r="S474" s="16">
        <v>4399</v>
      </c>
      <c r="U474" s="16">
        <v>0</v>
      </c>
      <c r="W474" s="16">
        <v>0</v>
      </c>
      <c r="Y474" s="16">
        <v>0</v>
      </c>
      <c r="AA474" s="16">
        <v>0</v>
      </c>
      <c r="AC474" s="16">
        <v>0</v>
      </c>
      <c r="AE474" s="32">
        <f t="shared" si="7"/>
        <v>264446</v>
      </c>
    </row>
    <row r="475" spans="1:31" ht="12.75" customHeight="1">
      <c r="A475" s="1" t="s">
        <v>350</v>
      </c>
      <c r="C475" s="1" t="s">
        <v>217</v>
      </c>
      <c r="D475" s="16"/>
      <c r="E475" s="16">
        <v>13006</v>
      </c>
      <c r="G475" s="16">
        <v>83302</v>
      </c>
      <c r="I475" s="16">
        <v>53206</v>
      </c>
      <c r="K475" s="16">
        <v>1732</v>
      </c>
      <c r="M475" s="16">
        <v>0</v>
      </c>
      <c r="O475" s="16">
        <v>11589</v>
      </c>
      <c r="Q475" s="16">
        <v>4017</v>
      </c>
      <c r="S475" s="16">
        <v>3484</v>
      </c>
      <c r="U475" s="16">
        <v>0</v>
      </c>
      <c r="W475" s="16">
        <v>0</v>
      </c>
      <c r="Y475" s="16">
        <v>0</v>
      </c>
      <c r="AA475" s="16">
        <v>0</v>
      </c>
      <c r="AC475" s="16">
        <v>26457</v>
      </c>
      <c r="AE475" s="32">
        <f t="shared" si="7"/>
        <v>196793</v>
      </c>
    </row>
    <row r="476" spans="1:31" ht="12.75" customHeight="1">
      <c r="A476" s="1" t="s">
        <v>351</v>
      </c>
      <c r="C476" s="1" t="s">
        <v>67</v>
      </c>
      <c r="D476" s="16"/>
      <c r="E476" s="16">
        <v>26395</v>
      </c>
      <c r="G476" s="16">
        <v>0</v>
      </c>
      <c r="I476" s="16">
        <v>27358</v>
      </c>
      <c r="K476" s="16">
        <v>0</v>
      </c>
      <c r="M476" s="16">
        <v>0</v>
      </c>
      <c r="O476" s="16">
        <v>0</v>
      </c>
      <c r="Q476" s="16">
        <v>10</v>
      </c>
      <c r="S476" s="16">
        <v>8819</v>
      </c>
      <c r="U476" s="16">
        <v>0</v>
      </c>
      <c r="W476" s="16">
        <v>0</v>
      </c>
      <c r="Y476" s="16">
        <v>0</v>
      </c>
      <c r="AA476" s="16">
        <v>0</v>
      </c>
      <c r="AC476" s="16">
        <v>0</v>
      </c>
      <c r="AE476" s="32">
        <f t="shared" si="7"/>
        <v>62582</v>
      </c>
    </row>
    <row r="477" spans="1:31" ht="12.75" customHeight="1">
      <c r="A477" s="1" t="s">
        <v>352</v>
      </c>
      <c r="C477" s="1" t="s">
        <v>353</v>
      </c>
      <c r="D477" s="16"/>
      <c r="E477" s="16">
        <v>62412</v>
      </c>
      <c r="G477" s="16">
        <v>0</v>
      </c>
      <c r="I477" s="16">
        <v>152084</v>
      </c>
      <c r="K477" s="16">
        <v>0</v>
      </c>
      <c r="M477" s="16">
        <v>0</v>
      </c>
      <c r="O477" s="16">
        <v>15554</v>
      </c>
      <c r="Q477" s="16">
        <v>1006</v>
      </c>
      <c r="S477" s="16">
        <v>16302</v>
      </c>
      <c r="U477" s="16">
        <v>0</v>
      </c>
      <c r="W477" s="16">
        <v>0</v>
      </c>
      <c r="Y477" s="16">
        <v>0</v>
      </c>
      <c r="AA477" s="16">
        <v>0</v>
      </c>
      <c r="AC477" s="16">
        <v>0</v>
      </c>
      <c r="AE477" s="32">
        <f t="shared" si="7"/>
        <v>247358</v>
      </c>
    </row>
    <row r="478" spans="1:31" ht="12.75" customHeight="1">
      <c r="A478" s="1" t="s">
        <v>354</v>
      </c>
      <c r="C478" s="1" t="s">
        <v>190</v>
      </c>
      <c r="D478" s="16"/>
      <c r="E478" s="16">
        <v>463847</v>
      </c>
      <c r="G478" s="16">
        <v>0</v>
      </c>
      <c r="I478" s="16">
        <v>89625</v>
      </c>
      <c r="K478" s="16">
        <v>0</v>
      </c>
      <c r="M478" s="16">
        <v>41888</v>
      </c>
      <c r="O478" s="16">
        <v>2006</v>
      </c>
      <c r="Q478" s="16">
        <v>0</v>
      </c>
      <c r="S478" s="16">
        <v>68308</v>
      </c>
      <c r="U478" s="16">
        <v>0</v>
      </c>
      <c r="W478" s="16">
        <v>6889</v>
      </c>
      <c r="Y478" s="16">
        <v>68147</v>
      </c>
      <c r="AA478" s="16">
        <v>5000</v>
      </c>
      <c r="AC478" s="16">
        <v>0</v>
      </c>
      <c r="AE478" s="32">
        <f t="shared" si="7"/>
        <v>745710</v>
      </c>
    </row>
    <row r="479" spans="1:31" ht="12.75" customHeight="1">
      <c r="A479" s="1" t="s">
        <v>523</v>
      </c>
      <c r="C479" s="1" t="s">
        <v>78</v>
      </c>
      <c r="E479" s="16">
        <v>14368</v>
      </c>
      <c r="G479" s="16">
        <v>0</v>
      </c>
      <c r="I479" s="16">
        <v>55903</v>
      </c>
      <c r="K479" s="16">
        <v>0</v>
      </c>
      <c r="M479" s="16">
        <v>2212</v>
      </c>
      <c r="O479" s="16">
        <v>0</v>
      </c>
      <c r="Q479" s="16">
        <v>406</v>
      </c>
      <c r="S479" s="16">
        <v>885</v>
      </c>
      <c r="U479" s="16">
        <v>0</v>
      </c>
      <c r="W479" s="16">
        <v>0</v>
      </c>
      <c r="Y479" s="16">
        <v>0</v>
      </c>
      <c r="AA479" s="16">
        <v>0</v>
      </c>
      <c r="AC479" s="16">
        <v>811</v>
      </c>
      <c r="AE479" s="32">
        <f t="shared" si="7"/>
        <v>74585</v>
      </c>
    </row>
    <row r="480" spans="1:31" ht="12.75" customHeight="1">
      <c r="A480" s="1" t="s">
        <v>355</v>
      </c>
      <c r="C480" s="1" t="s">
        <v>293</v>
      </c>
      <c r="D480" s="1"/>
      <c r="E480" s="16">
        <v>888684</v>
      </c>
      <c r="G480" s="16">
        <v>0</v>
      </c>
      <c r="I480" s="16">
        <v>198667</v>
      </c>
      <c r="K480" s="16">
        <v>0</v>
      </c>
      <c r="M480" s="16">
        <v>155314</v>
      </c>
      <c r="O480" s="16">
        <v>38172</v>
      </c>
      <c r="Q480" s="16">
        <v>25303</v>
      </c>
      <c r="S480" s="16">
        <v>15796</v>
      </c>
      <c r="U480" s="16">
        <v>0</v>
      </c>
      <c r="W480" s="16">
        <v>0</v>
      </c>
      <c r="Y480" s="16">
        <v>0</v>
      </c>
      <c r="AA480" s="16">
        <v>0</v>
      </c>
      <c r="AC480" s="16">
        <v>0</v>
      </c>
      <c r="AE480" s="32">
        <f t="shared" si="7"/>
        <v>1321936</v>
      </c>
    </row>
    <row r="481" spans="1:31" ht="12.75" customHeight="1">
      <c r="A481" s="1" t="s">
        <v>356</v>
      </c>
      <c r="C481" s="1" t="s">
        <v>170</v>
      </c>
      <c r="D481" s="1"/>
      <c r="E481" s="16">
        <v>0</v>
      </c>
      <c r="G481" s="16">
        <v>0</v>
      </c>
      <c r="I481" s="16">
        <v>7322</v>
      </c>
      <c r="K481" s="16">
        <v>0</v>
      </c>
      <c r="M481" s="16">
        <v>0</v>
      </c>
      <c r="O481" s="16">
        <v>370</v>
      </c>
      <c r="Q481" s="16">
        <v>2910</v>
      </c>
      <c r="S481" s="16">
        <v>1593</v>
      </c>
      <c r="U481" s="16">
        <v>0</v>
      </c>
      <c r="W481" s="16">
        <v>0</v>
      </c>
      <c r="Y481" s="16">
        <v>0</v>
      </c>
      <c r="AA481" s="16">
        <v>0</v>
      </c>
      <c r="AC481" s="16">
        <v>0</v>
      </c>
      <c r="AE481" s="32">
        <f t="shared" si="7"/>
        <v>12195</v>
      </c>
    </row>
    <row r="482" spans="1:31" ht="12.75" customHeight="1">
      <c r="A482" s="1" t="s">
        <v>441</v>
      </c>
      <c r="C482" s="1" t="s">
        <v>199</v>
      </c>
      <c r="E482" s="16">
        <v>11995</v>
      </c>
      <c r="G482" s="16">
        <v>0</v>
      </c>
      <c r="I482" s="16">
        <v>36422</v>
      </c>
      <c r="K482" s="16">
        <v>0</v>
      </c>
      <c r="M482" s="16">
        <v>370</v>
      </c>
      <c r="O482" s="16">
        <v>8305</v>
      </c>
      <c r="Q482" s="16">
        <v>1570</v>
      </c>
      <c r="S482" s="16">
        <v>1203</v>
      </c>
      <c r="U482" s="16">
        <v>0</v>
      </c>
      <c r="W482" s="16">
        <v>0</v>
      </c>
      <c r="Y482" s="16">
        <v>0</v>
      </c>
      <c r="AA482" s="16">
        <v>0</v>
      </c>
      <c r="AC482" s="16">
        <v>0</v>
      </c>
      <c r="AE482" s="32">
        <f t="shared" si="7"/>
        <v>59865</v>
      </c>
    </row>
    <row r="483" spans="1:31" ht="12.75" customHeight="1">
      <c r="A483" s="1" t="s">
        <v>656</v>
      </c>
      <c r="C483" s="1" t="s">
        <v>155</v>
      </c>
      <c r="E483" s="16">
        <v>19046</v>
      </c>
      <c r="G483" s="16">
        <v>147889</v>
      </c>
      <c r="I483" s="16">
        <v>60244</v>
      </c>
      <c r="K483" s="16">
        <v>0</v>
      </c>
      <c r="M483" s="16">
        <v>0</v>
      </c>
      <c r="O483" s="16">
        <v>0</v>
      </c>
      <c r="Q483" s="16">
        <v>4054</v>
      </c>
      <c r="S483" s="16">
        <v>1812</v>
      </c>
      <c r="U483" s="16">
        <v>0</v>
      </c>
      <c r="W483" s="16">
        <v>0</v>
      </c>
      <c r="Y483" s="16">
        <v>0</v>
      </c>
      <c r="AA483" s="16">
        <v>600</v>
      </c>
      <c r="AC483" s="16">
        <v>6396</v>
      </c>
      <c r="AE483" s="32">
        <f t="shared" si="7"/>
        <v>240041</v>
      </c>
    </row>
    <row r="484" spans="1:31" ht="12.75" customHeight="1">
      <c r="A484" s="1" t="s">
        <v>755</v>
      </c>
      <c r="C484" s="1" t="s">
        <v>172</v>
      </c>
      <c r="E484" s="16">
        <v>2675</v>
      </c>
      <c r="G484" s="16">
        <v>0</v>
      </c>
      <c r="I484" s="16">
        <v>4563</v>
      </c>
      <c r="K484" s="16">
        <v>0</v>
      </c>
      <c r="M484" s="16">
        <v>0</v>
      </c>
      <c r="O484" s="16">
        <v>0</v>
      </c>
      <c r="Q484" s="16">
        <v>357</v>
      </c>
      <c r="S484" s="16">
        <v>646</v>
      </c>
      <c r="U484" s="16">
        <v>0</v>
      </c>
      <c r="W484" s="16">
        <v>0</v>
      </c>
      <c r="Y484" s="16">
        <v>0</v>
      </c>
      <c r="AA484" s="16">
        <v>0</v>
      </c>
      <c r="AC484" s="16">
        <v>0</v>
      </c>
      <c r="AE484" s="32">
        <f t="shared" si="7"/>
        <v>8241</v>
      </c>
    </row>
    <row r="485" spans="1:31" ht="12.75" customHeight="1">
      <c r="A485" s="1" t="s">
        <v>533</v>
      </c>
      <c r="C485" s="1" t="s">
        <v>98</v>
      </c>
      <c r="E485" s="16">
        <v>33132</v>
      </c>
      <c r="G485" s="16">
        <v>0</v>
      </c>
      <c r="I485" s="16">
        <v>23914</v>
      </c>
      <c r="K485" s="16">
        <v>0</v>
      </c>
      <c r="M485" s="16">
        <v>0</v>
      </c>
      <c r="O485" s="16">
        <v>4732</v>
      </c>
      <c r="Q485" s="16">
        <v>1381</v>
      </c>
      <c r="S485" s="16">
        <v>599</v>
      </c>
      <c r="U485" s="16">
        <v>0</v>
      </c>
      <c r="W485" s="16">
        <v>0</v>
      </c>
      <c r="Y485" s="16">
        <v>0</v>
      </c>
      <c r="AA485" s="16">
        <v>0</v>
      </c>
      <c r="AC485" s="16">
        <v>0</v>
      </c>
      <c r="AE485" s="32">
        <f t="shared" si="7"/>
        <v>63758</v>
      </c>
    </row>
    <row r="486" spans="1:31" ht="12.75" customHeight="1">
      <c r="A486" s="1" t="s">
        <v>710</v>
      </c>
      <c r="C486" s="1" t="s">
        <v>147</v>
      </c>
      <c r="E486" s="16">
        <v>98773</v>
      </c>
      <c r="G486" s="16">
        <v>0</v>
      </c>
      <c r="I486" s="16">
        <v>110927</v>
      </c>
      <c r="K486" s="16">
        <v>0</v>
      </c>
      <c r="M486" s="16">
        <v>0</v>
      </c>
      <c r="O486" s="16">
        <v>16210</v>
      </c>
      <c r="Q486" s="16">
        <v>4608</v>
      </c>
      <c r="S486" s="16">
        <v>62923</v>
      </c>
      <c r="U486" s="16">
        <v>24415</v>
      </c>
      <c r="W486" s="16">
        <v>0</v>
      </c>
      <c r="Y486" s="16">
        <v>85000</v>
      </c>
      <c r="AA486" s="16">
        <v>0</v>
      </c>
      <c r="AC486" s="16">
        <v>0</v>
      </c>
      <c r="AE486" s="32">
        <f t="shared" si="7"/>
        <v>402856</v>
      </c>
    </row>
    <row r="487" spans="1:31" ht="12.75" customHeight="1">
      <c r="A487" s="1" t="s">
        <v>634</v>
      </c>
      <c r="C487" s="1" t="s">
        <v>378</v>
      </c>
      <c r="E487" s="16">
        <v>368056</v>
      </c>
      <c r="G487" s="16">
        <v>0</v>
      </c>
      <c r="I487" s="16">
        <v>304686</v>
      </c>
      <c r="K487" s="16">
        <v>0</v>
      </c>
      <c r="M487" s="16">
        <v>0</v>
      </c>
      <c r="O487" s="16">
        <v>167041</v>
      </c>
      <c r="Q487" s="16">
        <v>7752</v>
      </c>
      <c r="S487" s="16">
        <v>17240</v>
      </c>
      <c r="U487" s="16">
        <v>0</v>
      </c>
      <c r="W487" s="16">
        <v>0</v>
      </c>
      <c r="Y487" s="16">
        <v>0</v>
      </c>
      <c r="AA487" s="16">
        <v>0</v>
      </c>
      <c r="AC487" s="16">
        <v>0</v>
      </c>
      <c r="AE487" s="32">
        <f t="shared" si="7"/>
        <v>864775</v>
      </c>
    </row>
    <row r="488" spans="1:31" ht="12.75" customHeight="1">
      <c r="A488" s="1" t="s">
        <v>455</v>
      </c>
      <c r="C488" s="1" t="s">
        <v>453</v>
      </c>
      <c r="E488" s="16">
        <v>8190</v>
      </c>
      <c r="G488" s="16">
        <v>0</v>
      </c>
      <c r="I488" s="16">
        <v>37004</v>
      </c>
      <c r="K488" s="16">
        <v>0</v>
      </c>
      <c r="M488" s="16">
        <v>285</v>
      </c>
      <c r="O488" s="16">
        <v>460</v>
      </c>
      <c r="Q488" s="16">
        <v>61</v>
      </c>
      <c r="S488" s="16">
        <v>136</v>
      </c>
      <c r="U488" s="16">
        <v>0</v>
      </c>
      <c r="W488" s="16">
        <v>0</v>
      </c>
      <c r="Y488" s="16">
        <v>0</v>
      </c>
      <c r="AA488" s="16">
        <v>0</v>
      </c>
      <c r="AC488" s="16">
        <v>0</v>
      </c>
      <c r="AE488" s="32">
        <f t="shared" si="7"/>
        <v>46136</v>
      </c>
    </row>
    <row r="489" spans="1:31" ht="12.75" customHeight="1">
      <c r="A489" s="1" t="s">
        <v>647</v>
      </c>
      <c r="C489" s="1" t="s">
        <v>372</v>
      </c>
      <c r="E489" s="16">
        <v>52890</v>
      </c>
      <c r="G489" s="16">
        <v>322644</v>
      </c>
      <c r="I489" s="16">
        <v>87442</v>
      </c>
      <c r="K489" s="16">
        <v>0</v>
      </c>
      <c r="M489" s="16">
        <v>14509</v>
      </c>
      <c r="O489" s="16">
        <v>161073</v>
      </c>
      <c r="Q489" s="16">
        <v>2344</v>
      </c>
      <c r="S489" s="16">
        <v>15519</v>
      </c>
      <c r="U489" s="16">
        <v>0</v>
      </c>
      <c r="W489" s="16">
        <v>0</v>
      </c>
      <c r="Y489" s="16">
        <v>0</v>
      </c>
      <c r="AA489" s="16">
        <v>5000</v>
      </c>
      <c r="AC489" s="16">
        <v>12000</v>
      </c>
      <c r="AE489" s="32">
        <f t="shared" si="7"/>
        <v>673421</v>
      </c>
    </row>
    <row r="490" spans="1:31" ht="12.75" customHeight="1">
      <c r="A490" s="1" t="s">
        <v>357</v>
      </c>
      <c r="C490" s="1" t="s">
        <v>131</v>
      </c>
      <c r="D490" s="16"/>
      <c r="E490" s="16">
        <v>8818</v>
      </c>
      <c r="G490" s="16">
        <v>0</v>
      </c>
      <c r="I490" s="16">
        <v>25420</v>
      </c>
      <c r="K490" s="16">
        <v>0</v>
      </c>
      <c r="M490" s="16">
        <v>13737</v>
      </c>
      <c r="O490" s="16">
        <v>11943</v>
      </c>
      <c r="Q490" s="16">
        <v>104</v>
      </c>
      <c r="S490" s="16">
        <v>0</v>
      </c>
      <c r="U490" s="16">
        <v>0</v>
      </c>
      <c r="W490" s="16">
        <v>0</v>
      </c>
      <c r="Y490" s="16">
        <v>0</v>
      </c>
      <c r="AA490" s="16">
        <v>0</v>
      </c>
      <c r="AC490" s="16">
        <v>0</v>
      </c>
      <c r="AE490" s="32">
        <f t="shared" si="7"/>
        <v>60022</v>
      </c>
    </row>
    <row r="491" spans="1:31" ht="12.75" customHeight="1">
      <c r="A491" s="1" t="s">
        <v>502</v>
      </c>
      <c r="C491" s="1" t="s">
        <v>122</v>
      </c>
      <c r="E491" s="16">
        <v>13401</v>
      </c>
      <c r="G491" s="16">
        <v>0</v>
      </c>
      <c r="I491" s="16">
        <v>5594</v>
      </c>
      <c r="K491" s="16">
        <v>0</v>
      </c>
      <c r="M491" s="16">
        <v>3850</v>
      </c>
      <c r="O491" s="16">
        <v>502</v>
      </c>
      <c r="Q491" s="16">
        <v>178</v>
      </c>
      <c r="S491" s="16">
        <v>4116</v>
      </c>
      <c r="U491" s="16">
        <v>0</v>
      </c>
      <c r="W491" s="16">
        <v>0</v>
      </c>
      <c r="Y491" s="16">
        <v>0</v>
      </c>
      <c r="AA491" s="16">
        <v>0</v>
      </c>
      <c r="AC491" s="16">
        <v>0</v>
      </c>
      <c r="AE491" s="32">
        <f t="shared" si="7"/>
        <v>27641</v>
      </c>
    </row>
    <row r="492" spans="1:31" ht="12.75" customHeight="1">
      <c r="A492" s="1" t="s">
        <v>137</v>
      </c>
      <c r="C492" s="1" t="s">
        <v>94</v>
      </c>
      <c r="E492" s="16">
        <v>12698</v>
      </c>
      <c r="G492" s="16">
        <v>0</v>
      </c>
      <c r="I492" s="16">
        <v>10105</v>
      </c>
      <c r="K492" s="16">
        <v>6027</v>
      </c>
      <c r="M492" s="16">
        <v>0</v>
      </c>
      <c r="O492" s="16">
        <v>130966</v>
      </c>
      <c r="Q492" s="16">
        <v>776</v>
      </c>
      <c r="S492" s="16">
        <v>1414</v>
      </c>
      <c r="U492" s="16">
        <v>0</v>
      </c>
      <c r="W492" s="16">
        <v>0</v>
      </c>
      <c r="Y492" s="16">
        <v>0</v>
      </c>
      <c r="AA492" s="16">
        <v>0</v>
      </c>
      <c r="AC492" s="16">
        <v>0</v>
      </c>
      <c r="AE492" s="32">
        <f t="shared" si="7"/>
        <v>161986</v>
      </c>
    </row>
    <row r="493" spans="1:31" ht="12.75" customHeight="1">
      <c r="A493" s="1" t="s">
        <v>657</v>
      </c>
      <c r="C493" s="1" t="s">
        <v>155</v>
      </c>
      <c r="E493" s="16">
        <v>8179</v>
      </c>
      <c r="G493" s="16">
        <v>0</v>
      </c>
      <c r="I493" s="16">
        <v>18766</v>
      </c>
      <c r="K493" s="16">
        <v>0</v>
      </c>
      <c r="M493" s="16">
        <v>969</v>
      </c>
      <c r="O493" s="16">
        <v>0</v>
      </c>
      <c r="Q493" s="16">
        <v>103</v>
      </c>
      <c r="S493" s="16">
        <v>7284</v>
      </c>
      <c r="U493" s="16">
        <v>0</v>
      </c>
      <c r="W493" s="16">
        <v>0</v>
      </c>
      <c r="Y493" s="16">
        <v>0</v>
      </c>
      <c r="AA493" s="16">
        <v>0</v>
      </c>
      <c r="AC493" s="16">
        <v>0</v>
      </c>
      <c r="AE493" s="32">
        <f t="shared" si="7"/>
        <v>35301</v>
      </c>
    </row>
    <row r="494" spans="3:31" ht="12.75" customHeight="1">
      <c r="C494" s="1" t="s">
        <v>100</v>
      </c>
      <c r="E494" s="16">
        <v>33939</v>
      </c>
      <c r="G494" s="16">
        <v>111830</v>
      </c>
      <c r="I494" s="16">
        <v>88720</v>
      </c>
      <c r="K494" s="16">
        <v>0</v>
      </c>
      <c r="M494" s="16">
        <v>300</v>
      </c>
      <c r="O494" s="16">
        <v>41398</v>
      </c>
      <c r="Q494" s="16">
        <v>3858</v>
      </c>
      <c r="S494" s="16">
        <v>22090</v>
      </c>
      <c r="U494" s="16">
        <v>0</v>
      </c>
      <c r="W494" s="16">
        <v>0</v>
      </c>
      <c r="Y494" s="16">
        <v>0</v>
      </c>
      <c r="AA494" s="16">
        <v>0</v>
      </c>
      <c r="AC494" s="16">
        <v>0</v>
      </c>
      <c r="AE494" s="32">
        <f t="shared" si="7"/>
        <v>302135</v>
      </c>
    </row>
    <row r="495" spans="1:31" ht="12.75" customHeight="1">
      <c r="A495" s="1" t="s">
        <v>610</v>
      </c>
      <c r="C495" s="1" t="s">
        <v>164</v>
      </c>
      <c r="E495" s="16">
        <v>28055</v>
      </c>
      <c r="G495" s="16">
        <v>0</v>
      </c>
      <c r="I495" s="16">
        <v>32984</v>
      </c>
      <c r="K495" s="16">
        <v>0</v>
      </c>
      <c r="M495" s="16">
        <v>0</v>
      </c>
      <c r="O495" s="16">
        <v>101255</v>
      </c>
      <c r="Q495" s="16">
        <v>0</v>
      </c>
      <c r="S495" s="16">
        <v>24879</v>
      </c>
      <c r="U495" s="16">
        <v>0</v>
      </c>
      <c r="W495" s="16">
        <v>0</v>
      </c>
      <c r="Y495" s="16">
        <v>0</v>
      </c>
      <c r="AA495" s="16">
        <v>0</v>
      </c>
      <c r="AC495" s="16">
        <v>0</v>
      </c>
      <c r="AE495" s="32">
        <f t="shared" si="7"/>
        <v>187173</v>
      </c>
    </row>
    <row r="496" spans="1:31" ht="12.75" customHeight="1">
      <c r="A496" s="1" t="s">
        <v>639</v>
      </c>
      <c r="C496" s="1" t="s">
        <v>268</v>
      </c>
      <c r="E496" s="16">
        <v>56928</v>
      </c>
      <c r="G496" s="16">
        <v>0</v>
      </c>
      <c r="I496" s="16">
        <v>68799</v>
      </c>
      <c r="K496" s="16">
        <v>0</v>
      </c>
      <c r="M496" s="16">
        <v>0</v>
      </c>
      <c r="O496" s="16">
        <v>7125</v>
      </c>
      <c r="Q496" s="16">
        <v>13745</v>
      </c>
      <c r="S496" s="16">
        <v>9422</v>
      </c>
      <c r="U496" s="16">
        <v>0</v>
      </c>
      <c r="W496" s="16">
        <v>0</v>
      </c>
      <c r="Y496" s="16">
        <v>0</v>
      </c>
      <c r="AA496" s="16">
        <v>0</v>
      </c>
      <c r="AC496" s="16">
        <v>0</v>
      </c>
      <c r="AE496" s="32">
        <f t="shared" si="7"/>
        <v>156019</v>
      </c>
    </row>
    <row r="497" spans="1:31" ht="12.75" customHeight="1">
      <c r="A497" s="1" t="s">
        <v>676</v>
      </c>
      <c r="C497" s="1" t="s">
        <v>215</v>
      </c>
      <c r="E497" s="16">
        <v>434977</v>
      </c>
      <c r="G497" s="16">
        <v>0</v>
      </c>
      <c r="I497" s="16">
        <v>146188</v>
      </c>
      <c r="K497" s="16">
        <v>0</v>
      </c>
      <c r="M497" s="16">
        <v>501590</v>
      </c>
      <c r="O497" s="16">
        <v>64786</v>
      </c>
      <c r="Q497" s="16">
        <v>8215</v>
      </c>
      <c r="S497" s="16">
        <v>21786</v>
      </c>
      <c r="U497" s="16">
        <v>0</v>
      </c>
      <c r="W497" s="16">
        <v>0</v>
      </c>
      <c r="Y497" s="16">
        <v>0</v>
      </c>
      <c r="AA497" s="16">
        <v>0</v>
      </c>
      <c r="AC497" s="16">
        <v>0</v>
      </c>
      <c r="AE497" s="32">
        <f t="shared" si="7"/>
        <v>1177542</v>
      </c>
    </row>
    <row r="498" spans="1:31" ht="12.75" customHeight="1">
      <c r="A498" s="1" t="s">
        <v>560</v>
      </c>
      <c r="C498" s="1" t="s">
        <v>199</v>
      </c>
      <c r="E498" s="16">
        <v>7983</v>
      </c>
      <c r="G498" s="16">
        <v>0</v>
      </c>
      <c r="I498" s="16">
        <v>24896</v>
      </c>
      <c r="K498" s="16">
        <v>0</v>
      </c>
      <c r="M498" s="16">
        <v>4295</v>
      </c>
      <c r="O498" s="16">
        <v>0</v>
      </c>
      <c r="Q498" s="16">
        <v>426</v>
      </c>
      <c r="S498" s="16">
        <v>11136</v>
      </c>
      <c r="U498" s="16">
        <v>0</v>
      </c>
      <c r="W498" s="16">
        <v>0</v>
      </c>
      <c r="Y498" s="16">
        <v>0</v>
      </c>
      <c r="AA498" s="16">
        <v>0</v>
      </c>
      <c r="AC498" s="16">
        <v>0</v>
      </c>
      <c r="AE498" s="32">
        <f t="shared" si="7"/>
        <v>48736</v>
      </c>
    </row>
    <row r="499" spans="1:31" ht="12.75" customHeight="1">
      <c r="A499" s="1" t="s">
        <v>620</v>
      </c>
      <c r="C499" s="1" t="s">
        <v>369</v>
      </c>
      <c r="E499" s="16">
        <v>34110</v>
      </c>
      <c r="G499" s="16">
        <v>0</v>
      </c>
      <c r="I499" s="16">
        <v>42234</v>
      </c>
      <c r="K499" s="16">
        <v>0</v>
      </c>
      <c r="M499" s="16">
        <v>4900</v>
      </c>
      <c r="O499" s="16">
        <v>0</v>
      </c>
      <c r="Q499" s="16">
        <v>4935</v>
      </c>
      <c r="S499" s="16">
        <v>11688</v>
      </c>
      <c r="U499" s="16">
        <v>0</v>
      </c>
      <c r="W499" s="16">
        <v>0</v>
      </c>
      <c r="Y499" s="16">
        <v>0</v>
      </c>
      <c r="AA499" s="16">
        <v>0</v>
      </c>
      <c r="AC499" s="16">
        <v>0</v>
      </c>
      <c r="AE499" s="32">
        <f t="shared" si="7"/>
        <v>97867</v>
      </c>
    </row>
    <row r="500" spans="1:31" ht="12.75" customHeight="1">
      <c r="A500" s="1" t="s">
        <v>648</v>
      </c>
      <c r="C500" s="1" t="s">
        <v>372</v>
      </c>
      <c r="E500" s="16">
        <v>44316</v>
      </c>
      <c r="G500" s="16">
        <v>0</v>
      </c>
      <c r="I500" s="16">
        <v>29350</v>
      </c>
      <c r="K500" s="16">
        <v>0</v>
      </c>
      <c r="M500" s="16">
        <v>0</v>
      </c>
      <c r="O500" s="16">
        <v>3092</v>
      </c>
      <c r="Q500" s="16">
        <v>295</v>
      </c>
      <c r="S500" s="16">
        <v>95544</v>
      </c>
      <c r="U500" s="16">
        <v>0</v>
      </c>
      <c r="W500" s="16">
        <v>0</v>
      </c>
      <c r="Y500" s="16">
        <v>0</v>
      </c>
      <c r="AA500" s="16">
        <v>0</v>
      </c>
      <c r="AC500" s="16">
        <v>0</v>
      </c>
      <c r="AE500" s="32">
        <f t="shared" si="7"/>
        <v>172597</v>
      </c>
    </row>
    <row r="501" spans="1:31" ht="12.75" customHeight="1">
      <c r="A501" s="1" t="s">
        <v>358</v>
      </c>
      <c r="C501" s="1" t="s">
        <v>318</v>
      </c>
      <c r="D501" s="16"/>
      <c r="E501" s="16">
        <v>1123</v>
      </c>
      <c r="G501" s="16">
        <v>0</v>
      </c>
      <c r="I501" s="16">
        <v>2114</v>
      </c>
      <c r="K501" s="16">
        <v>0</v>
      </c>
      <c r="M501" s="16">
        <v>5600</v>
      </c>
      <c r="O501" s="16">
        <v>0</v>
      </c>
      <c r="Q501" s="16">
        <v>0</v>
      </c>
      <c r="S501" s="16">
        <f>17596+1258</f>
        <v>18854</v>
      </c>
      <c r="U501" s="16">
        <v>18000</v>
      </c>
      <c r="W501" s="16">
        <v>0</v>
      </c>
      <c r="Y501" s="16">
        <v>0</v>
      </c>
      <c r="AA501" s="16">
        <v>0</v>
      </c>
      <c r="AC501" s="16">
        <v>0</v>
      </c>
      <c r="AE501" s="32">
        <f t="shared" si="7"/>
        <v>45691</v>
      </c>
    </row>
    <row r="502" spans="1:31" ht="12.75" customHeight="1">
      <c r="A502" s="1" t="s">
        <v>573</v>
      </c>
      <c r="C502" s="1" t="s">
        <v>114</v>
      </c>
      <c r="E502" s="16">
        <v>8198</v>
      </c>
      <c r="G502" s="16">
        <v>0</v>
      </c>
      <c r="I502" s="16">
        <v>47067</v>
      </c>
      <c r="K502" s="16">
        <v>0</v>
      </c>
      <c r="M502" s="16">
        <v>440</v>
      </c>
      <c r="O502" s="16">
        <v>0</v>
      </c>
      <c r="Q502" s="16">
        <v>2322</v>
      </c>
      <c r="S502" s="16">
        <v>4817</v>
      </c>
      <c r="U502" s="16">
        <v>0</v>
      </c>
      <c r="W502" s="16">
        <v>0</v>
      </c>
      <c r="Y502" s="16">
        <v>0</v>
      </c>
      <c r="AA502" s="16">
        <v>0</v>
      </c>
      <c r="AC502" s="16">
        <v>0</v>
      </c>
      <c r="AE502" s="32">
        <f t="shared" si="7"/>
        <v>62844</v>
      </c>
    </row>
    <row r="503" spans="1:31" ht="12.75" customHeight="1">
      <c r="A503" s="1" t="s">
        <v>734</v>
      </c>
      <c r="C503" s="1" t="s">
        <v>129</v>
      </c>
      <c r="E503" s="16">
        <v>133308</v>
      </c>
      <c r="G503" s="16">
        <v>886594</v>
      </c>
      <c r="I503" s="16">
        <v>235262</v>
      </c>
      <c r="K503" s="16">
        <v>0</v>
      </c>
      <c r="M503" s="16">
        <v>200</v>
      </c>
      <c r="O503" s="16">
        <v>311596</v>
      </c>
      <c r="Q503" s="16">
        <v>4311</v>
      </c>
      <c r="S503" s="16">
        <v>12893</v>
      </c>
      <c r="U503" s="16">
        <v>0</v>
      </c>
      <c r="W503" s="16">
        <v>14697</v>
      </c>
      <c r="Y503" s="16">
        <v>0</v>
      </c>
      <c r="AA503" s="16">
        <v>28159</v>
      </c>
      <c r="AC503" s="16">
        <v>229</v>
      </c>
      <c r="AE503" s="32">
        <f t="shared" si="7"/>
        <v>1627249</v>
      </c>
    </row>
    <row r="504" spans="1:31" ht="12.75" customHeight="1">
      <c r="A504" s="1" t="s">
        <v>683</v>
      </c>
      <c r="C504" s="1" t="s">
        <v>179</v>
      </c>
      <c r="E504" s="16">
        <v>198</v>
      </c>
      <c r="G504" s="16">
        <v>0</v>
      </c>
      <c r="I504" s="16">
        <v>5450</v>
      </c>
      <c r="K504" s="16">
        <v>0</v>
      </c>
      <c r="M504" s="16">
        <v>0</v>
      </c>
      <c r="O504" s="16">
        <v>0</v>
      </c>
      <c r="Q504" s="16">
        <v>77</v>
      </c>
      <c r="S504" s="16">
        <v>250</v>
      </c>
      <c r="U504" s="16">
        <v>0</v>
      </c>
      <c r="W504" s="16">
        <v>0</v>
      </c>
      <c r="Y504" s="16">
        <v>0</v>
      </c>
      <c r="AA504" s="16">
        <v>0</v>
      </c>
      <c r="AC504" s="16">
        <v>0</v>
      </c>
      <c r="AE504" s="32">
        <f t="shared" si="7"/>
        <v>5975</v>
      </c>
    </row>
    <row r="505" spans="1:31" ht="12.75" customHeight="1">
      <c r="A505" s="1" t="s">
        <v>725</v>
      </c>
      <c r="C505" s="1" t="s">
        <v>118</v>
      </c>
      <c r="E505" s="16">
        <v>15058</v>
      </c>
      <c r="G505" s="16">
        <v>0</v>
      </c>
      <c r="I505" s="16">
        <v>77136</v>
      </c>
      <c r="K505" s="16">
        <v>0</v>
      </c>
      <c r="M505" s="16">
        <v>0</v>
      </c>
      <c r="O505" s="16">
        <v>11694</v>
      </c>
      <c r="Q505" s="16">
        <v>9941</v>
      </c>
      <c r="S505" s="16">
        <v>131019</v>
      </c>
      <c r="U505" s="16">
        <v>0</v>
      </c>
      <c r="W505" s="16">
        <v>0</v>
      </c>
      <c r="Y505" s="16">
        <v>0</v>
      </c>
      <c r="AA505" s="16">
        <v>0</v>
      </c>
      <c r="AC505" s="16">
        <v>0</v>
      </c>
      <c r="AE505" s="32">
        <f t="shared" si="7"/>
        <v>244848</v>
      </c>
    </row>
    <row r="506" spans="1:31" ht="12.75" customHeight="1">
      <c r="A506" s="1" t="s">
        <v>359</v>
      </c>
      <c r="C506" s="1" t="s">
        <v>129</v>
      </c>
      <c r="D506" s="16"/>
      <c r="E506" s="16">
        <v>326182</v>
      </c>
      <c r="G506" s="16">
        <v>0</v>
      </c>
      <c r="I506" s="16">
        <v>426930</v>
      </c>
      <c r="K506" s="16">
        <v>0</v>
      </c>
      <c r="M506" s="16">
        <v>697036</v>
      </c>
      <c r="O506" s="16">
        <v>172141</v>
      </c>
      <c r="Q506" s="16">
        <v>32605</v>
      </c>
      <c r="S506" s="16">
        <v>146498</v>
      </c>
      <c r="U506" s="16">
        <v>0</v>
      </c>
      <c r="W506" s="16">
        <v>0</v>
      </c>
      <c r="Y506" s="16">
        <v>2700000</v>
      </c>
      <c r="AA506" s="16">
        <v>0</v>
      </c>
      <c r="AC506" s="16">
        <v>0</v>
      </c>
      <c r="AE506" s="32">
        <f t="shared" si="7"/>
        <v>4501392</v>
      </c>
    </row>
    <row r="507" spans="1:31" ht="12.75" customHeight="1">
      <c r="A507" s="1" t="s">
        <v>601</v>
      </c>
      <c r="C507" s="1" t="s">
        <v>69</v>
      </c>
      <c r="E507" s="16">
        <v>21217</v>
      </c>
      <c r="G507" s="16">
        <v>0</v>
      </c>
      <c r="I507" s="16">
        <v>61853</v>
      </c>
      <c r="K507" s="16">
        <v>0</v>
      </c>
      <c r="M507" s="16">
        <v>0</v>
      </c>
      <c r="O507" s="16">
        <v>138</v>
      </c>
      <c r="Q507" s="16">
        <v>4252</v>
      </c>
      <c r="S507" s="16">
        <v>675</v>
      </c>
      <c r="U507" s="16">
        <v>0</v>
      </c>
      <c r="W507" s="16">
        <v>0</v>
      </c>
      <c r="Y507" s="16">
        <v>0</v>
      </c>
      <c r="AA507" s="16">
        <v>0</v>
      </c>
      <c r="AC507" s="16">
        <v>0</v>
      </c>
      <c r="AE507" s="32">
        <f t="shared" si="7"/>
        <v>88135</v>
      </c>
    </row>
    <row r="508" spans="1:31" ht="12.75" customHeight="1">
      <c r="A508" s="1" t="s">
        <v>746</v>
      </c>
      <c r="C508" s="1" t="s">
        <v>744</v>
      </c>
      <c r="E508" s="16">
        <v>198570</v>
      </c>
      <c r="G508" s="16">
        <v>295344</v>
      </c>
      <c r="I508" s="16">
        <v>74759</v>
      </c>
      <c r="K508" s="16">
        <v>0</v>
      </c>
      <c r="M508" s="16">
        <v>128</v>
      </c>
      <c r="O508" s="16">
        <v>11998</v>
      </c>
      <c r="Q508" s="16">
        <v>15695</v>
      </c>
      <c r="S508" s="16">
        <v>22111</v>
      </c>
      <c r="U508" s="16">
        <v>0</v>
      </c>
      <c r="W508" s="16">
        <v>0</v>
      </c>
      <c r="Y508" s="16">
        <v>0</v>
      </c>
      <c r="AA508" s="16">
        <v>0</v>
      </c>
      <c r="AC508" s="16">
        <v>0</v>
      </c>
      <c r="AE508" s="32">
        <f t="shared" si="7"/>
        <v>618605</v>
      </c>
    </row>
    <row r="509" spans="1:31" ht="12.75" customHeight="1">
      <c r="A509" s="1" t="s">
        <v>577</v>
      </c>
      <c r="C509" s="1" t="s">
        <v>65</v>
      </c>
      <c r="E509" s="16">
        <v>4918</v>
      </c>
      <c r="G509" s="16">
        <v>0</v>
      </c>
      <c r="I509" s="16">
        <v>9138</v>
      </c>
      <c r="K509" s="16">
        <v>25053</v>
      </c>
      <c r="M509" s="16">
        <v>2034</v>
      </c>
      <c r="O509" s="16">
        <v>0</v>
      </c>
      <c r="Q509" s="16">
        <v>978</v>
      </c>
      <c r="S509" s="16">
        <v>0</v>
      </c>
      <c r="U509" s="16">
        <v>0</v>
      </c>
      <c r="W509" s="16">
        <v>0</v>
      </c>
      <c r="Y509" s="16">
        <v>0</v>
      </c>
      <c r="AA509" s="16">
        <v>0</v>
      </c>
      <c r="AC509" s="16">
        <v>1273</v>
      </c>
      <c r="AE509" s="32">
        <f t="shared" si="7"/>
        <v>43394</v>
      </c>
    </row>
    <row r="510" spans="1:31" ht="12.75" customHeight="1">
      <c r="A510" s="1" t="s">
        <v>553</v>
      </c>
      <c r="C510" s="1" t="s">
        <v>210</v>
      </c>
      <c r="E510" s="16">
        <v>2334</v>
      </c>
      <c r="G510" s="16">
        <v>167307</v>
      </c>
      <c r="I510" s="16">
        <v>76738</v>
      </c>
      <c r="K510" s="16">
        <v>0</v>
      </c>
      <c r="M510" s="16">
        <v>39223</v>
      </c>
      <c r="O510" s="16">
        <v>45</v>
      </c>
      <c r="Q510" s="16">
        <v>3521</v>
      </c>
      <c r="S510" s="16">
        <v>9269</v>
      </c>
      <c r="U510" s="16">
        <v>0</v>
      </c>
      <c r="W510" s="16">
        <v>0</v>
      </c>
      <c r="Y510" s="16">
        <v>0</v>
      </c>
      <c r="AA510" s="16">
        <v>0</v>
      </c>
      <c r="AC510" s="16">
        <v>0</v>
      </c>
      <c r="AE510" s="32">
        <f t="shared" si="7"/>
        <v>298437</v>
      </c>
    </row>
    <row r="511" spans="1:31" ht="12.75" customHeight="1">
      <c r="A511" s="1" t="s">
        <v>360</v>
      </c>
      <c r="C511" s="1" t="s">
        <v>246</v>
      </c>
      <c r="D511" s="16"/>
      <c r="E511" s="16">
        <v>20266</v>
      </c>
      <c r="G511" s="16">
        <v>272287</v>
      </c>
      <c r="I511" s="16">
        <v>35908</v>
      </c>
      <c r="K511" s="16">
        <v>0</v>
      </c>
      <c r="M511" s="16">
        <v>22000</v>
      </c>
      <c r="O511" s="16">
        <v>52033</v>
      </c>
      <c r="Q511" s="16">
        <v>53168</v>
      </c>
      <c r="S511" s="16">
        <v>71945</v>
      </c>
      <c r="U511" s="16">
        <v>0</v>
      </c>
      <c r="W511" s="16">
        <v>0</v>
      </c>
      <c r="Y511" s="16">
        <v>75922</v>
      </c>
      <c r="AA511" s="16">
        <v>0</v>
      </c>
      <c r="AC511" s="16">
        <v>0</v>
      </c>
      <c r="AE511" s="32">
        <f t="shared" si="7"/>
        <v>603529</v>
      </c>
    </row>
    <row r="512" spans="1:31" ht="12.75" customHeight="1">
      <c r="A512" s="1" t="s">
        <v>775</v>
      </c>
      <c r="C512" s="1" t="s">
        <v>94</v>
      </c>
      <c r="E512" s="16">
        <v>32742</v>
      </c>
      <c r="G512" s="16">
        <v>0</v>
      </c>
      <c r="I512" s="16">
        <v>17234</v>
      </c>
      <c r="K512" s="16">
        <v>0</v>
      </c>
      <c r="M512" s="16">
        <v>0</v>
      </c>
      <c r="O512" s="16">
        <v>43084</v>
      </c>
      <c r="Q512" s="16">
        <v>5239</v>
      </c>
      <c r="S512" s="16">
        <v>2206</v>
      </c>
      <c r="U512" s="16">
        <v>0</v>
      </c>
      <c r="W512" s="16">
        <v>0</v>
      </c>
      <c r="Y512" s="16">
        <v>0</v>
      </c>
      <c r="AA512" s="16">
        <v>7920</v>
      </c>
      <c r="AC512" s="16">
        <v>1633</v>
      </c>
      <c r="AE512" s="32">
        <f t="shared" si="7"/>
        <v>110058</v>
      </c>
    </row>
    <row r="513" spans="1:31" ht="12.75" customHeight="1">
      <c r="A513" s="1" t="s">
        <v>361</v>
      </c>
      <c r="C513" s="1" t="s">
        <v>149</v>
      </c>
      <c r="D513" s="16"/>
      <c r="E513" s="16">
        <v>75293</v>
      </c>
      <c r="G513" s="16">
        <v>0</v>
      </c>
      <c r="I513" s="16">
        <v>57860</v>
      </c>
      <c r="K513" s="16">
        <v>0</v>
      </c>
      <c r="M513" s="16">
        <v>0</v>
      </c>
      <c r="O513" s="16">
        <v>3071</v>
      </c>
      <c r="Q513" s="16">
        <v>11869</v>
      </c>
      <c r="S513" s="16">
        <v>0</v>
      </c>
      <c r="U513" s="16">
        <v>0</v>
      </c>
      <c r="W513" s="16">
        <v>0</v>
      </c>
      <c r="Y513" s="16">
        <v>0</v>
      </c>
      <c r="AA513" s="16">
        <v>0</v>
      </c>
      <c r="AC513" s="16">
        <v>8252</v>
      </c>
      <c r="AE513" s="32">
        <f t="shared" si="7"/>
        <v>156345</v>
      </c>
    </row>
    <row r="514" spans="1:31" ht="12.75" customHeight="1">
      <c r="A514" s="1" t="s">
        <v>362</v>
      </c>
      <c r="C514" s="30" t="s">
        <v>76</v>
      </c>
      <c r="D514" s="1"/>
      <c r="E514" s="16">
        <v>94920</v>
      </c>
      <c r="G514" s="16">
        <v>0</v>
      </c>
      <c r="I514" s="16">
        <v>30269</v>
      </c>
      <c r="K514" s="16">
        <v>0</v>
      </c>
      <c r="M514" s="16">
        <v>0</v>
      </c>
      <c r="O514" s="16">
        <v>15491</v>
      </c>
      <c r="Q514" s="16">
        <v>11421</v>
      </c>
      <c r="S514" s="16">
        <v>67271</v>
      </c>
      <c r="U514" s="16">
        <v>0</v>
      </c>
      <c r="W514" s="16">
        <v>1000</v>
      </c>
      <c r="Y514" s="16">
        <v>0</v>
      </c>
      <c r="AA514" s="16">
        <v>0</v>
      </c>
      <c r="AC514" s="16">
        <v>0</v>
      </c>
      <c r="AE514" s="32">
        <f t="shared" si="7"/>
        <v>220372</v>
      </c>
    </row>
    <row r="515" spans="1:31" ht="12.75" customHeight="1">
      <c r="A515" s="1" t="s">
        <v>625</v>
      </c>
      <c r="C515" s="1" t="s">
        <v>228</v>
      </c>
      <c r="E515" s="16">
        <v>9824</v>
      </c>
      <c r="G515" s="16">
        <v>0</v>
      </c>
      <c r="I515" s="16">
        <v>16966</v>
      </c>
      <c r="K515" s="16">
        <v>0</v>
      </c>
      <c r="M515" s="16">
        <v>1310</v>
      </c>
      <c r="O515" s="16">
        <v>150</v>
      </c>
      <c r="Q515" s="16">
        <v>2310</v>
      </c>
      <c r="S515" s="16">
        <v>0</v>
      </c>
      <c r="U515" s="16">
        <v>0</v>
      </c>
      <c r="W515" s="16">
        <v>0</v>
      </c>
      <c r="Y515" s="16">
        <v>0</v>
      </c>
      <c r="AA515" s="16">
        <v>0</v>
      </c>
      <c r="AC515" s="16">
        <v>336</v>
      </c>
      <c r="AE515" s="32">
        <f t="shared" si="7"/>
        <v>30896</v>
      </c>
    </row>
    <row r="516" spans="1:31" ht="12.75" customHeight="1">
      <c r="A516" s="1" t="s">
        <v>363</v>
      </c>
      <c r="C516" s="30" t="s">
        <v>76</v>
      </c>
      <c r="D516" s="1"/>
      <c r="E516" s="16">
        <v>89846</v>
      </c>
      <c r="G516" s="16">
        <v>0</v>
      </c>
      <c r="I516" s="16">
        <v>27565</v>
      </c>
      <c r="K516" s="16">
        <v>0</v>
      </c>
      <c r="M516" s="16">
        <v>0</v>
      </c>
      <c r="O516" s="16">
        <v>20</v>
      </c>
      <c r="Q516" s="16">
        <v>3927</v>
      </c>
      <c r="S516" s="16">
        <v>2744</v>
      </c>
      <c r="U516" s="16">
        <v>0</v>
      </c>
      <c r="W516" s="16">
        <v>0</v>
      </c>
      <c r="Y516" s="16">
        <v>0</v>
      </c>
      <c r="AA516" s="16">
        <v>0</v>
      </c>
      <c r="AC516" s="16">
        <v>0</v>
      </c>
      <c r="AE516" s="32">
        <f t="shared" si="7"/>
        <v>124102</v>
      </c>
    </row>
    <row r="517" spans="1:31" ht="12.75" customHeight="1">
      <c r="A517" s="1" t="s">
        <v>364</v>
      </c>
      <c r="C517" s="1" t="s">
        <v>167</v>
      </c>
      <c r="D517" s="16"/>
      <c r="E517" s="16">
        <v>246191</v>
      </c>
      <c r="G517" s="16">
        <v>0</v>
      </c>
      <c r="I517" s="16">
        <v>53036</v>
      </c>
      <c r="K517" s="16">
        <v>0</v>
      </c>
      <c r="M517" s="16">
        <v>15285</v>
      </c>
      <c r="O517" s="16">
        <v>21840</v>
      </c>
      <c r="Q517" s="16">
        <v>6559</v>
      </c>
      <c r="S517" s="16">
        <v>11941</v>
      </c>
      <c r="U517" s="16">
        <v>0</v>
      </c>
      <c r="W517" s="16">
        <v>0</v>
      </c>
      <c r="Y517" s="16">
        <v>0</v>
      </c>
      <c r="AA517" s="16">
        <v>0</v>
      </c>
      <c r="AC517" s="16">
        <v>0</v>
      </c>
      <c r="AE517" s="32">
        <f t="shared" si="7"/>
        <v>354852</v>
      </c>
    </row>
    <row r="518" spans="1:31" ht="12.75" customHeight="1">
      <c r="A518" s="1" t="s">
        <v>508</v>
      </c>
      <c r="C518" s="1" t="s">
        <v>414</v>
      </c>
      <c r="E518" s="16">
        <v>6656</v>
      </c>
      <c r="G518" s="16">
        <v>0</v>
      </c>
      <c r="I518" s="16">
        <v>21010</v>
      </c>
      <c r="K518" s="16">
        <v>0</v>
      </c>
      <c r="M518" s="16">
        <v>60</v>
      </c>
      <c r="O518" s="16">
        <v>10403</v>
      </c>
      <c r="Q518" s="16">
        <v>238</v>
      </c>
      <c r="S518" s="16">
        <v>7375</v>
      </c>
      <c r="U518" s="16">
        <v>0</v>
      </c>
      <c r="W518" s="16">
        <v>0</v>
      </c>
      <c r="Y518" s="16">
        <v>0</v>
      </c>
      <c r="AA518" s="16">
        <v>51918</v>
      </c>
      <c r="AC518" s="16">
        <v>4667</v>
      </c>
      <c r="AE518" s="32">
        <f t="shared" si="7"/>
        <v>102327</v>
      </c>
    </row>
    <row r="519" spans="1:31" ht="12.75" customHeight="1">
      <c r="A519" s="1" t="s">
        <v>365</v>
      </c>
      <c r="C519" s="1" t="s">
        <v>67</v>
      </c>
      <c r="D519" s="16"/>
      <c r="E519" s="16">
        <v>55004</v>
      </c>
      <c r="G519" s="16">
        <v>0</v>
      </c>
      <c r="I519" s="16">
        <v>57849</v>
      </c>
      <c r="K519" s="16">
        <v>0</v>
      </c>
      <c r="M519" s="16">
        <v>61497</v>
      </c>
      <c r="O519" s="16">
        <v>14701</v>
      </c>
      <c r="Q519" s="16">
        <v>9239</v>
      </c>
      <c r="S519" s="16">
        <v>3951</v>
      </c>
      <c r="U519" s="16">
        <v>0</v>
      </c>
      <c r="W519" s="16">
        <v>0</v>
      </c>
      <c r="Y519" s="16">
        <v>20800</v>
      </c>
      <c r="AA519" s="16">
        <v>0</v>
      </c>
      <c r="AC519" s="16">
        <v>0</v>
      </c>
      <c r="AE519" s="32">
        <f t="shared" si="7"/>
        <v>223041</v>
      </c>
    </row>
    <row r="520" spans="1:31" ht="12.75" customHeight="1">
      <c r="A520" s="1" t="s">
        <v>366</v>
      </c>
      <c r="C520" s="1" t="s">
        <v>78</v>
      </c>
      <c r="D520" s="16"/>
      <c r="E520" s="16">
        <v>9141</v>
      </c>
      <c r="G520" s="16">
        <v>0</v>
      </c>
      <c r="I520" s="16">
        <v>36792</v>
      </c>
      <c r="K520" s="16">
        <v>0</v>
      </c>
      <c r="M520" s="16">
        <v>0</v>
      </c>
      <c r="O520" s="16">
        <v>0</v>
      </c>
      <c r="Q520" s="16">
        <v>256</v>
      </c>
      <c r="S520" s="16">
        <v>5</v>
      </c>
      <c r="U520" s="16">
        <v>20000</v>
      </c>
      <c r="W520" s="16">
        <v>0</v>
      </c>
      <c r="Y520" s="16">
        <v>0</v>
      </c>
      <c r="AA520" s="16">
        <v>0</v>
      </c>
      <c r="AC520" s="16">
        <v>0</v>
      </c>
      <c r="AE520" s="32">
        <f t="shared" si="7"/>
        <v>66194</v>
      </c>
    </row>
    <row r="521" spans="1:31" ht="12.75" customHeight="1">
      <c r="A521" s="1" t="s">
        <v>367</v>
      </c>
      <c r="C521" s="1" t="s">
        <v>96</v>
      </c>
      <c r="D521" s="16"/>
      <c r="E521" s="16">
        <v>11328</v>
      </c>
      <c r="G521" s="16">
        <v>21405</v>
      </c>
      <c r="I521" s="16">
        <v>9949</v>
      </c>
      <c r="K521" s="16">
        <v>0</v>
      </c>
      <c r="M521" s="16">
        <v>350</v>
      </c>
      <c r="O521" s="16">
        <v>395</v>
      </c>
      <c r="Q521" s="16">
        <v>251</v>
      </c>
      <c r="S521" s="16">
        <v>22250</v>
      </c>
      <c r="U521" s="16">
        <v>0</v>
      </c>
      <c r="W521" s="16">
        <v>0</v>
      </c>
      <c r="Y521" s="16">
        <v>0</v>
      </c>
      <c r="AA521" s="16">
        <v>0</v>
      </c>
      <c r="AC521" s="16">
        <v>0</v>
      </c>
      <c r="AE521" s="32">
        <f t="shared" si="7"/>
        <v>65928</v>
      </c>
    </row>
    <row r="522" spans="1:31" ht="12.75" customHeight="1">
      <c r="A522" s="1" t="s">
        <v>621</v>
      </c>
      <c r="C522" s="1" t="s">
        <v>369</v>
      </c>
      <c r="E522" s="16">
        <v>46244</v>
      </c>
      <c r="G522" s="16">
        <v>0</v>
      </c>
      <c r="I522" s="16">
        <v>83830</v>
      </c>
      <c r="K522" s="16">
        <v>0</v>
      </c>
      <c r="M522" s="16">
        <v>0</v>
      </c>
      <c r="O522" s="16">
        <v>2330</v>
      </c>
      <c r="Q522" s="16">
        <v>2189</v>
      </c>
      <c r="S522" s="16">
        <v>6540</v>
      </c>
      <c r="U522" s="16">
        <v>0</v>
      </c>
      <c r="W522" s="16">
        <v>0</v>
      </c>
      <c r="Y522" s="16">
        <v>0</v>
      </c>
      <c r="AA522" s="16">
        <v>0</v>
      </c>
      <c r="AC522" s="16">
        <v>0</v>
      </c>
      <c r="AE522" s="32">
        <f t="shared" si="7"/>
        <v>141133</v>
      </c>
    </row>
    <row r="523" spans="1:31" ht="12.75" customHeight="1">
      <c r="A523" s="1" t="s">
        <v>534</v>
      </c>
      <c r="C523" s="1" t="s">
        <v>98</v>
      </c>
      <c r="E523" s="16">
        <v>6141</v>
      </c>
      <c r="G523" s="16">
        <v>0</v>
      </c>
      <c r="I523" s="16">
        <v>11479</v>
      </c>
      <c r="K523" s="16">
        <v>0</v>
      </c>
      <c r="M523" s="16">
        <v>0</v>
      </c>
      <c r="O523" s="16">
        <v>687</v>
      </c>
      <c r="Q523" s="16">
        <v>551</v>
      </c>
      <c r="S523" s="16">
        <v>1800</v>
      </c>
      <c r="U523" s="16">
        <v>0</v>
      </c>
      <c r="W523" s="16">
        <v>0</v>
      </c>
      <c r="Y523" s="16">
        <v>4129</v>
      </c>
      <c r="AA523" s="16">
        <v>328</v>
      </c>
      <c r="AC523" s="16">
        <v>9220</v>
      </c>
      <c r="AE523" s="32">
        <f t="shared" si="7"/>
        <v>34335</v>
      </c>
    </row>
    <row r="524" spans="1:31" ht="12.75" customHeight="1">
      <c r="A524" s="1" t="s">
        <v>368</v>
      </c>
      <c r="C524" s="1" t="s">
        <v>369</v>
      </c>
      <c r="D524" s="16"/>
      <c r="E524" s="16">
        <v>123453</v>
      </c>
      <c r="G524" s="16">
        <v>0</v>
      </c>
      <c r="I524" s="16">
        <v>58434</v>
      </c>
      <c r="K524" s="16">
        <v>0</v>
      </c>
      <c r="M524" s="16">
        <v>7779</v>
      </c>
      <c r="O524" s="16">
        <v>17827</v>
      </c>
      <c r="Q524" s="16">
        <v>384</v>
      </c>
      <c r="S524" s="16">
        <v>11927</v>
      </c>
      <c r="U524" s="16">
        <v>0</v>
      </c>
      <c r="W524" s="16">
        <v>0</v>
      </c>
      <c r="Y524" s="16">
        <v>0</v>
      </c>
      <c r="AA524" s="16">
        <v>0</v>
      </c>
      <c r="AC524" s="16">
        <v>0</v>
      </c>
      <c r="AE524" s="32">
        <f t="shared" si="7"/>
        <v>219804</v>
      </c>
    </row>
    <row r="525" spans="1:31" ht="12.75" customHeight="1">
      <c r="A525" s="1" t="s">
        <v>370</v>
      </c>
      <c r="C525" s="1" t="s">
        <v>131</v>
      </c>
      <c r="D525" s="16"/>
      <c r="E525" s="16">
        <v>19388</v>
      </c>
      <c r="G525" s="16">
        <v>87370</v>
      </c>
      <c r="I525" s="16">
        <v>36021</v>
      </c>
      <c r="K525" s="16">
        <v>0</v>
      </c>
      <c r="M525" s="16">
        <v>0</v>
      </c>
      <c r="O525" s="16">
        <v>3142</v>
      </c>
      <c r="Q525" s="16">
        <v>1128</v>
      </c>
      <c r="S525" s="16">
        <v>6582</v>
      </c>
      <c r="U525" s="16">
        <v>0</v>
      </c>
      <c r="W525" s="16">
        <v>0</v>
      </c>
      <c r="Y525" s="16">
        <v>0</v>
      </c>
      <c r="AA525" s="16">
        <v>0</v>
      </c>
      <c r="AC525" s="16">
        <v>0</v>
      </c>
      <c r="AE525" s="32">
        <f t="shared" si="7"/>
        <v>153631</v>
      </c>
    </row>
    <row r="526" spans="1:31" ht="12.75" customHeight="1">
      <c r="A526" s="1" t="s">
        <v>371</v>
      </c>
      <c r="C526" s="1" t="s">
        <v>372</v>
      </c>
      <c r="D526" s="16"/>
      <c r="E526" s="16">
        <v>12333</v>
      </c>
      <c r="G526" s="16">
        <v>0</v>
      </c>
      <c r="I526" s="16">
        <v>26277</v>
      </c>
      <c r="K526" s="16">
        <v>0</v>
      </c>
      <c r="M526" s="16">
        <v>0</v>
      </c>
      <c r="O526" s="16">
        <v>16726</v>
      </c>
      <c r="Q526" s="16">
        <v>84</v>
      </c>
      <c r="S526" s="16">
        <v>4895</v>
      </c>
      <c r="U526" s="16">
        <v>9800</v>
      </c>
      <c r="W526" s="16">
        <v>0</v>
      </c>
      <c r="Y526" s="16">
        <v>0</v>
      </c>
      <c r="AA526" s="16">
        <v>0</v>
      </c>
      <c r="AC526" s="16">
        <v>0</v>
      </c>
      <c r="AE526" s="32">
        <f t="shared" si="7"/>
        <v>70115</v>
      </c>
    </row>
    <row r="527" spans="1:31" ht="12.75" customHeight="1">
      <c r="A527" s="1" t="s">
        <v>784</v>
      </c>
      <c r="D527" s="1"/>
      <c r="E527" s="1"/>
      <c r="F527" s="1"/>
      <c r="G527" s="1"/>
      <c r="AA527" s="16"/>
      <c r="AC527" s="16"/>
      <c r="AE527" s="32" t="s">
        <v>785</v>
      </c>
    </row>
    <row r="528" spans="1:44" s="36" customFormat="1" ht="12.75" customHeight="1">
      <c r="A528" s="36" t="s">
        <v>503</v>
      </c>
      <c r="C528" s="36" t="s">
        <v>122</v>
      </c>
      <c r="D528" s="42"/>
      <c r="E528" s="36">
        <v>105669</v>
      </c>
      <c r="G528" s="36">
        <v>0</v>
      </c>
      <c r="I528" s="36">
        <v>90701</v>
      </c>
      <c r="K528" s="36">
        <v>0</v>
      </c>
      <c r="M528" s="36">
        <v>0</v>
      </c>
      <c r="O528" s="36">
        <v>14625</v>
      </c>
      <c r="Q528" s="36">
        <v>12387</v>
      </c>
      <c r="S528" s="36">
        <v>15026</v>
      </c>
      <c r="U528" s="36">
        <v>0</v>
      </c>
      <c r="W528" s="36">
        <v>0</v>
      </c>
      <c r="Y528" s="36">
        <v>0</v>
      </c>
      <c r="AA528" s="36">
        <v>0</v>
      </c>
      <c r="AB528" s="37"/>
      <c r="AC528" s="36">
        <v>23420</v>
      </c>
      <c r="AD528" s="37"/>
      <c r="AE528" s="38">
        <f t="shared" si="7"/>
        <v>261828</v>
      </c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</row>
    <row r="529" spans="1:44" s="16" customFormat="1" ht="12.75" customHeight="1">
      <c r="A529" s="16" t="s">
        <v>653</v>
      </c>
      <c r="C529" s="16" t="s">
        <v>167</v>
      </c>
      <c r="D529" s="41"/>
      <c r="E529" s="16">
        <v>73762</v>
      </c>
      <c r="G529" s="16">
        <v>0</v>
      </c>
      <c r="I529" s="16">
        <v>106664</v>
      </c>
      <c r="K529" s="16">
        <v>0</v>
      </c>
      <c r="M529" s="16">
        <v>0</v>
      </c>
      <c r="O529" s="16">
        <v>1304</v>
      </c>
      <c r="Q529" s="16">
        <v>4518</v>
      </c>
      <c r="S529" s="16">
        <v>0</v>
      </c>
      <c r="U529" s="16">
        <v>0</v>
      </c>
      <c r="W529" s="16">
        <v>25139</v>
      </c>
      <c r="Y529" s="16">
        <v>100000</v>
      </c>
      <c r="AA529" s="16">
        <v>0</v>
      </c>
      <c r="AB529" s="20"/>
      <c r="AC529" s="16">
        <v>0</v>
      </c>
      <c r="AD529" s="20"/>
      <c r="AE529" s="32">
        <f aca="true" t="shared" si="8" ref="AE529:AE593">SUM(E529:AC529)</f>
        <v>311387</v>
      </c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</row>
    <row r="530" spans="1:31" ht="12.75" customHeight="1">
      <c r="A530" s="1" t="s">
        <v>561</v>
      </c>
      <c r="C530" s="1" t="s">
        <v>199</v>
      </c>
      <c r="E530" s="16">
        <v>1593</v>
      </c>
      <c r="G530" s="16">
        <v>0</v>
      </c>
      <c r="I530" s="16">
        <v>6758</v>
      </c>
      <c r="K530" s="16">
        <v>0</v>
      </c>
      <c r="M530" s="16">
        <v>0</v>
      </c>
      <c r="O530" s="16">
        <v>0</v>
      </c>
      <c r="Q530" s="16">
        <v>82</v>
      </c>
      <c r="S530" s="16">
        <v>0</v>
      </c>
      <c r="U530" s="16">
        <v>0</v>
      </c>
      <c r="W530" s="16">
        <v>0</v>
      </c>
      <c r="Y530" s="16">
        <v>0</v>
      </c>
      <c r="AA530" s="16">
        <v>0</v>
      </c>
      <c r="AC530" s="16">
        <v>0</v>
      </c>
      <c r="AE530" s="32">
        <f t="shared" si="8"/>
        <v>8433</v>
      </c>
    </row>
    <row r="531" spans="1:31" ht="12.75" customHeight="1">
      <c r="A531" s="1" t="s">
        <v>509</v>
      </c>
      <c r="C531" s="1" t="s">
        <v>414</v>
      </c>
      <c r="E531" s="16">
        <v>26249</v>
      </c>
      <c r="G531" s="16">
        <v>132697</v>
      </c>
      <c r="I531" s="16">
        <v>50117</v>
      </c>
      <c r="K531" s="16">
        <v>0</v>
      </c>
      <c r="M531" s="16">
        <v>4618</v>
      </c>
      <c r="O531" s="16">
        <v>19714</v>
      </c>
      <c r="Q531" s="16">
        <v>5848</v>
      </c>
      <c r="S531" s="16">
        <v>1004</v>
      </c>
      <c r="U531" s="16">
        <v>0</v>
      </c>
      <c r="W531" s="16">
        <v>0</v>
      </c>
      <c r="Y531" s="16">
        <v>0</v>
      </c>
      <c r="AA531" s="16">
        <v>0</v>
      </c>
      <c r="AC531" s="16">
        <v>0</v>
      </c>
      <c r="AE531" s="32">
        <f t="shared" si="8"/>
        <v>240247</v>
      </c>
    </row>
    <row r="532" spans="1:31" ht="12.75" customHeight="1">
      <c r="A532" s="1" t="s">
        <v>373</v>
      </c>
      <c r="C532" s="1" t="s">
        <v>104</v>
      </c>
      <c r="D532" s="16"/>
      <c r="E532" s="16">
        <v>1682</v>
      </c>
      <c r="G532" s="16">
        <v>0</v>
      </c>
      <c r="I532" s="16">
        <v>13119</v>
      </c>
      <c r="K532" s="16">
        <v>0</v>
      </c>
      <c r="M532" s="16">
        <v>0</v>
      </c>
      <c r="O532" s="16">
        <v>0</v>
      </c>
      <c r="Q532" s="16">
        <v>17</v>
      </c>
      <c r="S532" s="16">
        <v>0</v>
      </c>
      <c r="U532" s="16">
        <v>0</v>
      </c>
      <c r="W532" s="16">
        <v>0</v>
      </c>
      <c r="Y532" s="16">
        <v>0</v>
      </c>
      <c r="AA532" s="16">
        <v>0</v>
      </c>
      <c r="AC532" s="16">
        <v>0</v>
      </c>
      <c r="AE532" s="32">
        <f t="shared" si="8"/>
        <v>14818</v>
      </c>
    </row>
    <row r="533" spans="1:31" ht="12.75" customHeight="1">
      <c r="A533" s="1" t="s">
        <v>477</v>
      </c>
      <c r="C533" s="1" t="s">
        <v>246</v>
      </c>
      <c r="E533" s="16">
        <v>11249</v>
      </c>
      <c r="G533" s="16">
        <v>0</v>
      </c>
      <c r="I533" s="16">
        <v>21230</v>
      </c>
      <c r="K533" s="16">
        <v>0</v>
      </c>
      <c r="M533" s="16">
        <v>0</v>
      </c>
      <c r="O533" s="16">
        <v>10936</v>
      </c>
      <c r="Q533" s="16">
        <v>662</v>
      </c>
      <c r="S533" s="16">
        <v>1102</v>
      </c>
      <c r="U533" s="16">
        <v>70000</v>
      </c>
      <c r="W533" s="16">
        <v>0</v>
      </c>
      <c r="Y533" s="16">
        <v>61600</v>
      </c>
      <c r="AA533" s="16">
        <v>0</v>
      </c>
      <c r="AC533" s="16">
        <v>0</v>
      </c>
      <c r="AE533" s="32">
        <f t="shared" si="8"/>
        <v>176779</v>
      </c>
    </row>
    <row r="534" spans="1:31" ht="12.75" customHeight="1">
      <c r="A534" s="1" t="s">
        <v>374</v>
      </c>
      <c r="C534" s="30" t="s">
        <v>92</v>
      </c>
      <c r="D534" s="1"/>
      <c r="E534" s="16">
        <v>7570</v>
      </c>
      <c r="G534" s="16">
        <v>0</v>
      </c>
      <c r="I534" s="16">
        <v>37187</v>
      </c>
      <c r="K534" s="16">
        <v>0</v>
      </c>
      <c r="M534" s="16">
        <v>0</v>
      </c>
      <c r="O534" s="16">
        <v>6702</v>
      </c>
      <c r="Q534" s="16">
        <v>2709</v>
      </c>
      <c r="S534" s="16">
        <v>1646</v>
      </c>
      <c r="U534" s="16">
        <v>0</v>
      </c>
      <c r="W534" s="16">
        <v>0</v>
      </c>
      <c r="Y534" s="16">
        <v>0</v>
      </c>
      <c r="AA534" s="16">
        <v>0</v>
      </c>
      <c r="AC534" s="16">
        <v>0</v>
      </c>
      <c r="AE534" s="32">
        <f t="shared" si="8"/>
        <v>55814</v>
      </c>
    </row>
    <row r="535" spans="1:31" ht="12.75" customHeight="1">
      <c r="A535" s="1" t="s">
        <v>375</v>
      </c>
      <c r="C535" s="1" t="s">
        <v>133</v>
      </c>
      <c r="D535" s="16"/>
      <c r="E535" s="16">
        <v>27145</v>
      </c>
      <c r="G535" s="16">
        <v>0</v>
      </c>
      <c r="I535" s="16">
        <v>20365</v>
      </c>
      <c r="K535" s="16">
        <v>0</v>
      </c>
      <c r="M535" s="16">
        <v>0</v>
      </c>
      <c r="O535" s="16">
        <v>1166</v>
      </c>
      <c r="Q535" s="16">
        <v>1258</v>
      </c>
      <c r="S535" s="16">
        <v>5652</v>
      </c>
      <c r="U535" s="16">
        <v>0</v>
      </c>
      <c r="W535" s="16">
        <v>0</v>
      </c>
      <c r="Y535" s="16">
        <v>9406</v>
      </c>
      <c r="AA535" s="16">
        <v>10460</v>
      </c>
      <c r="AC535" s="16">
        <v>13</v>
      </c>
      <c r="AE535" s="32">
        <f t="shared" si="8"/>
        <v>75465</v>
      </c>
    </row>
    <row r="536" spans="1:31" ht="12.75" customHeight="1">
      <c r="A536" s="1" t="s">
        <v>376</v>
      </c>
      <c r="C536" s="30" t="s">
        <v>346</v>
      </c>
      <c r="D536" s="1"/>
      <c r="E536" s="16">
        <v>83498</v>
      </c>
      <c r="G536" s="16">
        <v>0</v>
      </c>
      <c r="I536" s="16">
        <v>51360</v>
      </c>
      <c r="K536" s="16">
        <v>0</v>
      </c>
      <c r="M536" s="16">
        <v>5533</v>
      </c>
      <c r="O536" s="16">
        <v>29104</v>
      </c>
      <c r="Q536" s="16">
        <v>0</v>
      </c>
      <c r="S536" s="16">
        <v>9704</v>
      </c>
      <c r="U536" s="16">
        <v>30000</v>
      </c>
      <c r="W536" s="16">
        <v>0</v>
      </c>
      <c r="Y536" s="16">
        <v>0</v>
      </c>
      <c r="AA536" s="16">
        <v>0</v>
      </c>
      <c r="AC536" s="16">
        <v>0</v>
      </c>
      <c r="AE536" s="32">
        <f t="shared" si="8"/>
        <v>209199</v>
      </c>
    </row>
    <row r="537" spans="1:31" ht="12.75" customHeight="1">
      <c r="A537" s="1" t="s">
        <v>377</v>
      </c>
      <c r="C537" s="1" t="s">
        <v>378</v>
      </c>
      <c r="D537" s="16"/>
      <c r="E537" s="16">
        <v>788568</v>
      </c>
      <c r="G537" s="16">
        <v>0</v>
      </c>
      <c r="I537" s="16">
        <v>627232</v>
      </c>
      <c r="K537" s="16">
        <v>0</v>
      </c>
      <c r="M537" s="16">
        <v>46387</v>
      </c>
      <c r="O537" s="16">
        <v>31241</v>
      </c>
      <c r="Q537" s="16">
        <v>6694</v>
      </c>
      <c r="S537" s="16">
        <v>49021</v>
      </c>
      <c r="U537" s="16">
        <v>0</v>
      </c>
      <c r="W537" s="16">
        <v>0</v>
      </c>
      <c r="Y537" s="16">
        <v>117052</v>
      </c>
      <c r="AA537" s="16">
        <v>0</v>
      </c>
      <c r="AC537" s="16">
        <v>128</v>
      </c>
      <c r="AE537" s="32">
        <f t="shared" si="8"/>
        <v>1666323</v>
      </c>
    </row>
    <row r="538" spans="1:31" ht="12.75" customHeight="1">
      <c r="A538" s="1" t="s">
        <v>562</v>
      </c>
      <c r="C538" s="1" t="s">
        <v>199</v>
      </c>
      <c r="E538" s="16">
        <v>7386</v>
      </c>
      <c r="G538" s="16">
        <v>0</v>
      </c>
      <c r="I538" s="16">
        <v>20183</v>
      </c>
      <c r="K538" s="16">
        <v>0</v>
      </c>
      <c r="M538" s="16">
        <v>0</v>
      </c>
      <c r="O538" s="16">
        <v>0</v>
      </c>
      <c r="Q538" s="16">
        <v>8767</v>
      </c>
      <c r="S538" s="16">
        <v>4687</v>
      </c>
      <c r="U538" s="16">
        <v>0</v>
      </c>
      <c r="W538" s="16">
        <v>0</v>
      </c>
      <c r="Y538" s="16">
        <v>0</v>
      </c>
      <c r="AA538" s="16">
        <v>0</v>
      </c>
      <c r="AC538" s="16">
        <v>0</v>
      </c>
      <c r="AE538" s="32">
        <f t="shared" si="8"/>
        <v>41023</v>
      </c>
    </row>
    <row r="539" spans="1:31" ht="12.75" customHeight="1">
      <c r="A539" s="1" t="s">
        <v>479</v>
      </c>
      <c r="C539" s="1" t="s">
        <v>146</v>
      </c>
      <c r="E539" s="16">
        <v>39082</v>
      </c>
      <c r="G539" s="16">
        <v>0</v>
      </c>
      <c r="I539" s="16">
        <v>45510</v>
      </c>
      <c r="K539" s="16">
        <v>0</v>
      </c>
      <c r="M539" s="16">
        <v>8500</v>
      </c>
      <c r="O539" s="16">
        <v>38104</v>
      </c>
      <c r="Q539" s="16">
        <v>3192</v>
      </c>
      <c r="S539" s="16">
        <v>176</v>
      </c>
      <c r="U539" s="16">
        <v>0</v>
      </c>
      <c r="W539" s="16">
        <v>0</v>
      </c>
      <c r="Y539" s="16">
        <v>0</v>
      </c>
      <c r="AA539" s="16">
        <v>0</v>
      </c>
      <c r="AC539" s="16">
        <v>2796</v>
      </c>
      <c r="AE539" s="32">
        <f t="shared" si="8"/>
        <v>137360</v>
      </c>
    </row>
    <row r="540" spans="1:31" ht="12.75" customHeight="1">
      <c r="A540" s="1" t="s">
        <v>643</v>
      </c>
      <c r="C540" s="1" t="s">
        <v>274</v>
      </c>
      <c r="E540" s="16">
        <v>219309</v>
      </c>
      <c r="G540" s="16">
        <v>782067</v>
      </c>
      <c r="I540" s="16">
        <v>248658</v>
      </c>
      <c r="K540" s="16">
        <v>839</v>
      </c>
      <c r="M540" s="16">
        <v>141</v>
      </c>
      <c r="O540" s="16">
        <v>17032</v>
      </c>
      <c r="Q540" s="16">
        <v>40453</v>
      </c>
      <c r="S540" s="16">
        <v>122486</v>
      </c>
      <c r="U540" s="16">
        <v>0</v>
      </c>
      <c r="W540" s="16">
        <v>0</v>
      </c>
      <c r="Y540" s="16">
        <v>0</v>
      </c>
      <c r="AA540" s="16">
        <v>0</v>
      </c>
      <c r="AC540" s="16">
        <v>0</v>
      </c>
      <c r="AE540" s="32">
        <f t="shared" si="8"/>
        <v>1430985</v>
      </c>
    </row>
    <row r="541" spans="1:31" ht="12.75" customHeight="1">
      <c r="A541" s="1" t="s">
        <v>471</v>
      </c>
      <c r="C541" s="1" t="s">
        <v>100</v>
      </c>
      <c r="E541" s="16">
        <v>322477</v>
      </c>
      <c r="G541" s="16">
        <v>0</v>
      </c>
      <c r="I541" s="16">
        <v>272673</v>
      </c>
      <c r="K541" s="16">
        <v>0</v>
      </c>
      <c r="M541" s="16">
        <v>28590</v>
      </c>
      <c r="O541" s="16">
        <v>15164</v>
      </c>
      <c r="Q541" s="16">
        <v>7503</v>
      </c>
      <c r="S541" s="16">
        <v>12426</v>
      </c>
      <c r="U541" s="16">
        <v>0</v>
      </c>
      <c r="W541" s="16">
        <v>0</v>
      </c>
      <c r="Y541" s="16">
        <v>0</v>
      </c>
      <c r="AA541" s="16">
        <v>0</v>
      </c>
      <c r="AC541" s="16">
        <v>0</v>
      </c>
      <c r="AE541" s="32">
        <f t="shared" si="8"/>
        <v>658833</v>
      </c>
    </row>
    <row r="542" spans="1:31" ht="12.75" customHeight="1">
      <c r="A542" s="1" t="s">
        <v>684</v>
      </c>
      <c r="C542" s="1" t="s">
        <v>179</v>
      </c>
      <c r="E542" s="16">
        <v>42449</v>
      </c>
      <c r="G542" s="16">
        <v>0</v>
      </c>
      <c r="I542" s="16">
        <v>30840</v>
      </c>
      <c r="K542" s="16">
        <v>0</v>
      </c>
      <c r="M542" s="16">
        <v>0</v>
      </c>
      <c r="O542" s="16">
        <v>7429</v>
      </c>
      <c r="Q542" s="16">
        <v>1434</v>
      </c>
      <c r="S542" s="16">
        <v>30</v>
      </c>
      <c r="U542" s="16">
        <v>0</v>
      </c>
      <c r="W542" s="16">
        <v>0</v>
      </c>
      <c r="Y542" s="16">
        <v>0</v>
      </c>
      <c r="AA542" s="16">
        <v>0</v>
      </c>
      <c r="AC542" s="16">
        <v>3306</v>
      </c>
      <c r="AE542" s="32">
        <f t="shared" si="8"/>
        <v>85488</v>
      </c>
    </row>
    <row r="543" spans="1:31" ht="12.75" customHeight="1">
      <c r="A543" s="1" t="s">
        <v>379</v>
      </c>
      <c r="C543" s="1" t="s">
        <v>228</v>
      </c>
      <c r="D543" s="16"/>
      <c r="E543" s="16">
        <v>2452253</v>
      </c>
      <c r="G543" s="16">
        <v>0</v>
      </c>
      <c r="I543" s="16">
        <v>122600</v>
      </c>
      <c r="K543" s="16">
        <v>0</v>
      </c>
      <c r="M543" s="16">
        <v>149586</v>
      </c>
      <c r="O543" s="16">
        <v>535287</v>
      </c>
      <c r="Q543" s="16">
        <v>10655</v>
      </c>
      <c r="S543" s="16">
        <v>155072</v>
      </c>
      <c r="U543" s="16">
        <v>0</v>
      </c>
      <c r="W543" s="16">
        <v>0</v>
      </c>
      <c r="Y543" s="16">
        <v>5540</v>
      </c>
      <c r="AA543" s="16">
        <v>0</v>
      </c>
      <c r="AC543" s="16">
        <v>0</v>
      </c>
      <c r="AE543" s="32">
        <f t="shared" si="8"/>
        <v>3430993</v>
      </c>
    </row>
    <row r="544" spans="1:31" ht="12.75" customHeight="1">
      <c r="A544" s="1" t="s">
        <v>484</v>
      </c>
      <c r="C544" s="1" t="s">
        <v>153</v>
      </c>
      <c r="E544" s="16">
        <v>6995</v>
      </c>
      <c r="G544" s="16">
        <v>0</v>
      </c>
      <c r="I544" s="16">
        <v>37809</v>
      </c>
      <c r="K544" s="16">
        <v>0</v>
      </c>
      <c r="M544" s="16">
        <v>0</v>
      </c>
      <c r="O544" s="16">
        <v>0</v>
      </c>
      <c r="Q544" s="16">
        <v>144</v>
      </c>
      <c r="S544" s="16">
        <v>4315</v>
      </c>
      <c r="U544" s="16">
        <v>0</v>
      </c>
      <c r="W544" s="16">
        <v>0</v>
      </c>
      <c r="Y544" s="16">
        <v>0</v>
      </c>
      <c r="AA544" s="16">
        <v>0</v>
      </c>
      <c r="AC544" s="16">
        <v>3417</v>
      </c>
      <c r="AE544" s="32">
        <f t="shared" si="8"/>
        <v>52680</v>
      </c>
    </row>
    <row r="545" spans="1:31" ht="12.75" customHeight="1">
      <c r="A545" s="1" t="s">
        <v>525</v>
      </c>
      <c r="C545" s="1" t="s">
        <v>244</v>
      </c>
      <c r="E545" s="16">
        <v>15441</v>
      </c>
      <c r="G545" s="16">
        <v>16317</v>
      </c>
      <c r="I545" s="16">
        <v>94505</v>
      </c>
      <c r="K545" s="16">
        <v>0</v>
      </c>
      <c r="M545" s="16">
        <v>7775</v>
      </c>
      <c r="O545" s="16">
        <v>1015</v>
      </c>
      <c r="Q545" s="16">
        <v>2091</v>
      </c>
      <c r="S545" s="16">
        <v>3073</v>
      </c>
      <c r="U545" s="16">
        <v>0</v>
      </c>
      <c r="W545" s="16">
        <v>0</v>
      </c>
      <c r="Y545" s="16">
        <v>0</v>
      </c>
      <c r="AA545" s="16">
        <v>0</v>
      </c>
      <c r="AC545" s="16">
        <v>0</v>
      </c>
      <c r="AE545" s="32">
        <f t="shared" si="8"/>
        <v>140217</v>
      </c>
    </row>
    <row r="546" spans="1:31" ht="12.75" customHeight="1">
      <c r="A546" s="1" t="s">
        <v>380</v>
      </c>
      <c r="C546" s="1" t="s">
        <v>147</v>
      </c>
      <c r="D546" s="16"/>
      <c r="E546" s="16">
        <v>17599</v>
      </c>
      <c r="G546" s="16">
        <v>0</v>
      </c>
      <c r="I546" s="16">
        <v>45959</v>
      </c>
      <c r="K546" s="16">
        <v>0</v>
      </c>
      <c r="M546" s="16">
        <v>0</v>
      </c>
      <c r="O546" s="16">
        <v>8030</v>
      </c>
      <c r="Q546" s="16">
        <v>3560</v>
      </c>
      <c r="S546" s="16">
        <v>3610</v>
      </c>
      <c r="U546" s="16">
        <v>0</v>
      </c>
      <c r="W546" s="16">
        <v>0</v>
      </c>
      <c r="Y546" s="16">
        <v>0</v>
      </c>
      <c r="AA546" s="16">
        <v>0</v>
      </c>
      <c r="AC546" s="16">
        <v>22422</v>
      </c>
      <c r="AE546" s="32">
        <f t="shared" si="8"/>
        <v>101180</v>
      </c>
    </row>
    <row r="547" spans="1:31" ht="12.75" customHeight="1">
      <c r="A547" s="1" t="s">
        <v>381</v>
      </c>
      <c r="C547" s="1" t="s">
        <v>84</v>
      </c>
      <c r="D547" s="16"/>
      <c r="E547" s="16">
        <v>52887</v>
      </c>
      <c r="G547" s="16">
        <v>0</v>
      </c>
      <c r="I547" s="16">
        <v>116606</v>
      </c>
      <c r="K547" s="16">
        <v>1801</v>
      </c>
      <c r="M547" s="16">
        <v>66597</v>
      </c>
      <c r="O547" s="16">
        <v>6598</v>
      </c>
      <c r="Q547" s="16">
        <v>0</v>
      </c>
      <c r="S547" s="16">
        <v>43756</v>
      </c>
      <c r="U547" s="16">
        <v>0</v>
      </c>
      <c r="W547" s="16">
        <v>0</v>
      </c>
      <c r="Y547" s="16">
        <v>100000</v>
      </c>
      <c r="AA547" s="16">
        <v>0</v>
      </c>
      <c r="AC547" s="16">
        <v>0</v>
      </c>
      <c r="AE547" s="32">
        <f t="shared" si="8"/>
        <v>388245</v>
      </c>
    </row>
    <row r="548" spans="1:31" ht="12.75" customHeight="1">
      <c r="A548" s="1" t="s">
        <v>382</v>
      </c>
      <c r="C548" s="1" t="s">
        <v>129</v>
      </c>
      <c r="D548" s="16"/>
      <c r="E548" s="16">
        <v>961110</v>
      </c>
      <c r="G548" s="16">
        <v>0</v>
      </c>
      <c r="I548" s="16">
        <v>554891</v>
      </c>
      <c r="K548" s="16">
        <v>377</v>
      </c>
      <c r="M548" s="16">
        <v>35889</v>
      </c>
      <c r="O548" s="16">
        <f>45713</f>
        <v>45713</v>
      </c>
      <c r="Q548" s="16">
        <v>36027</v>
      </c>
      <c r="S548" s="16">
        <v>9790</v>
      </c>
      <c r="U548" s="16">
        <v>0</v>
      </c>
      <c r="W548" s="16">
        <v>0</v>
      </c>
      <c r="Y548" s="16">
        <v>397839</v>
      </c>
      <c r="AA548" s="16">
        <v>0</v>
      </c>
      <c r="AC548" s="16">
        <v>0</v>
      </c>
      <c r="AE548" s="32">
        <f t="shared" si="8"/>
        <v>2041636</v>
      </c>
    </row>
    <row r="549" spans="1:31" ht="12.75" customHeight="1">
      <c r="A549" s="1" t="s">
        <v>383</v>
      </c>
      <c r="C549" s="1" t="s">
        <v>247</v>
      </c>
      <c r="D549" s="16"/>
      <c r="E549" s="16">
        <v>6639</v>
      </c>
      <c r="G549" s="16">
        <v>0</v>
      </c>
      <c r="I549" s="16">
        <v>25384</v>
      </c>
      <c r="K549" s="16">
        <v>0</v>
      </c>
      <c r="M549" s="16">
        <v>0</v>
      </c>
      <c r="O549" s="16">
        <v>0</v>
      </c>
      <c r="Q549" s="16">
        <v>0</v>
      </c>
      <c r="S549" s="16">
        <v>1629</v>
      </c>
      <c r="U549" s="16">
        <v>0</v>
      </c>
      <c r="W549" s="16">
        <v>0</v>
      </c>
      <c r="Y549" s="16">
        <v>0</v>
      </c>
      <c r="AA549" s="16">
        <v>0</v>
      </c>
      <c r="AC549" s="16">
        <v>0</v>
      </c>
      <c r="AE549" s="32">
        <f t="shared" si="8"/>
        <v>33652</v>
      </c>
    </row>
    <row r="550" spans="1:31" ht="12.75" customHeight="1">
      <c r="A550" s="1" t="s">
        <v>384</v>
      </c>
      <c r="C550" s="1" t="s">
        <v>84</v>
      </c>
      <c r="D550" s="16"/>
      <c r="E550" s="16">
        <v>55975</v>
      </c>
      <c r="G550" s="16">
        <v>524154</v>
      </c>
      <c r="I550" s="16">
        <v>51857</v>
      </c>
      <c r="K550" s="16">
        <v>0</v>
      </c>
      <c r="M550" s="16">
        <v>5171</v>
      </c>
      <c r="O550" s="16">
        <v>31423</v>
      </c>
      <c r="Q550" s="16">
        <v>2491</v>
      </c>
      <c r="S550" s="16">
        <v>37572</v>
      </c>
      <c r="U550" s="16">
        <v>0</v>
      </c>
      <c r="W550" s="16">
        <v>0</v>
      </c>
      <c r="Y550" s="16">
        <v>0</v>
      </c>
      <c r="AA550" s="16">
        <v>0</v>
      </c>
      <c r="AC550" s="16">
        <v>0</v>
      </c>
      <c r="AE550" s="32">
        <f t="shared" si="8"/>
        <v>708643</v>
      </c>
    </row>
    <row r="551" spans="1:31" ht="12.75" customHeight="1">
      <c r="A551" s="1" t="s">
        <v>385</v>
      </c>
      <c r="C551" s="1" t="s">
        <v>179</v>
      </c>
      <c r="D551" s="16"/>
      <c r="E551" s="16">
        <v>49563</v>
      </c>
      <c r="G551" s="16">
        <v>0</v>
      </c>
      <c r="I551" s="16">
        <v>100608</v>
      </c>
      <c r="K551" s="16">
        <v>0</v>
      </c>
      <c r="M551" s="16">
        <v>9582</v>
      </c>
      <c r="O551" s="16">
        <v>14534</v>
      </c>
      <c r="Q551" s="16">
        <v>14361</v>
      </c>
      <c r="S551" s="16">
        <v>29200</v>
      </c>
      <c r="U551" s="16">
        <v>0</v>
      </c>
      <c r="W551" s="16">
        <v>0</v>
      </c>
      <c r="Y551" s="16">
        <v>0</v>
      </c>
      <c r="AA551" s="16">
        <v>0</v>
      </c>
      <c r="AC551" s="16">
        <v>37195</v>
      </c>
      <c r="AE551" s="32">
        <f t="shared" si="8"/>
        <v>255043</v>
      </c>
    </row>
    <row r="552" spans="1:31" ht="12.75" customHeight="1">
      <c r="A552" s="1" t="s">
        <v>480</v>
      </c>
      <c r="C552" s="1" t="s">
        <v>146</v>
      </c>
      <c r="E552" s="16">
        <v>7390</v>
      </c>
      <c r="G552" s="16">
        <v>0</v>
      </c>
      <c r="I552" s="16">
        <v>30456</v>
      </c>
      <c r="K552" s="16">
        <v>0</v>
      </c>
      <c r="M552" s="16">
        <v>0</v>
      </c>
      <c r="O552" s="16">
        <v>434</v>
      </c>
      <c r="Q552" s="16">
        <v>214</v>
      </c>
      <c r="S552" s="16">
        <v>1203</v>
      </c>
      <c r="U552" s="16">
        <v>0</v>
      </c>
      <c r="W552" s="16">
        <v>0</v>
      </c>
      <c r="Y552" s="16">
        <v>0</v>
      </c>
      <c r="AA552" s="16">
        <v>0</v>
      </c>
      <c r="AC552" s="16">
        <v>0</v>
      </c>
      <c r="AE552" s="32">
        <f t="shared" si="8"/>
        <v>39697</v>
      </c>
    </row>
    <row r="553" spans="1:31" ht="12.75" customHeight="1">
      <c r="A553" s="1" t="s">
        <v>386</v>
      </c>
      <c r="C553" s="1" t="s">
        <v>228</v>
      </c>
      <c r="D553" s="16"/>
      <c r="E553" s="16">
        <v>74762</v>
      </c>
      <c r="G553" s="16">
        <v>0</v>
      </c>
      <c r="I553" s="16">
        <v>99626</v>
      </c>
      <c r="K553" s="16">
        <v>0</v>
      </c>
      <c r="M553" s="16">
        <v>93400</v>
      </c>
      <c r="O553" s="16">
        <v>29467</v>
      </c>
      <c r="Q553" s="16">
        <v>6547</v>
      </c>
      <c r="S553" s="16">
        <v>2105</v>
      </c>
      <c r="U553" s="16">
        <v>0</v>
      </c>
      <c r="W553" s="16">
        <v>0</v>
      </c>
      <c r="Y553" s="16">
        <v>41576</v>
      </c>
      <c r="AA553" s="16">
        <v>0</v>
      </c>
      <c r="AC553" s="16">
        <v>0</v>
      </c>
      <c r="AE553" s="32">
        <f t="shared" si="8"/>
        <v>347483</v>
      </c>
    </row>
    <row r="554" spans="1:31" ht="12.75" customHeight="1">
      <c r="A554" s="1" t="s">
        <v>783</v>
      </c>
      <c r="C554" s="1" t="s">
        <v>184</v>
      </c>
      <c r="E554" s="16">
        <v>41949</v>
      </c>
      <c r="G554" s="16">
        <v>91821</v>
      </c>
      <c r="I554" s="16">
        <v>33593</v>
      </c>
      <c r="K554" s="16">
        <v>0</v>
      </c>
      <c r="M554" s="16">
        <v>103671</v>
      </c>
      <c r="O554" s="16">
        <v>166793</v>
      </c>
      <c r="Q554" s="16">
        <v>12140</v>
      </c>
      <c r="S554" s="16">
        <v>4345</v>
      </c>
      <c r="U554" s="16">
        <v>25000</v>
      </c>
      <c r="W554" s="16">
        <v>0</v>
      </c>
      <c r="Y554" s="16">
        <v>0</v>
      </c>
      <c r="AA554" s="16">
        <v>0</v>
      </c>
      <c r="AC554" s="16">
        <v>0</v>
      </c>
      <c r="AE554" s="32">
        <f t="shared" si="8"/>
        <v>479312</v>
      </c>
    </row>
    <row r="555" spans="1:31" ht="12.75" customHeight="1">
      <c r="A555" s="1" t="s">
        <v>489</v>
      </c>
      <c r="C555" s="1" t="s">
        <v>194</v>
      </c>
      <c r="E555" s="16">
        <v>88988</v>
      </c>
      <c r="G555" s="16">
        <v>355664</v>
      </c>
      <c r="I555" s="16">
        <v>44203</v>
      </c>
      <c r="K555" s="16">
        <v>0</v>
      </c>
      <c r="M555" s="16">
        <v>0</v>
      </c>
      <c r="O555" s="16">
        <v>62315</v>
      </c>
      <c r="Q555" s="16">
        <v>367</v>
      </c>
      <c r="S555" s="16">
        <v>62990</v>
      </c>
      <c r="U555" s="16">
        <v>0</v>
      </c>
      <c r="W555" s="16">
        <v>0</v>
      </c>
      <c r="Y555" s="16">
        <v>0</v>
      </c>
      <c r="AA555" s="16">
        <v>0</v>
      </c>
      <c r="AC555" s="16">
        <v>0</v>
      </c>
      <c r="AE555" s="32">
        <f t="shared" si="8"/>
        <v>614527</v>
      </c>
    </row>
    <row r="556" spans="1:31" ht="12.75" customHeight="1">
      <c r="A556" s="1" t="s">
        <v>756</v>
      </c>
      <c r="C556" s="1" t="s">
        <v>172</v>
      </c>
      <c r="E556" s="16">
        <v>59428</v>
      </c>
      <c r="G556" s="16">
        <v>692314</v>
      </c>
      <c r="I556" s="16">
        <v>55372</v>
      </c>
      <c r="K556" s="16">
        <v>0</v>
      </c>
      <c r="M556" s="16">
        <v>0</v>
      </c>
      <c r="O556" s="16">
        <v>109073</v>
      </c>
      <c r="Q556" s="16">
        <v>3825</v>
      </c>
      <c r="S556" s="16">
        <v>52771</v>
      </c>
      <c r="U556" s="16">
        <v>0</v>
      </c>
      <c r="W556" s="16">
        <v>0</v>
      </c>
      <c r="Y556" s="16">
        <v>0</v>
      </c>
      <c r="AA556" s="16">
        <v>0</v>
      </c>
      <c r="AC556" s="16">
        <v>0</v>
      </c>
      <c r="AE556" s="32">
        <f t="shared" si="8"/>
        <v>972783</v>
      </c>
    </row>
    <row r="557" spans="1:31" ht="12.75" customHeight="1">
      <c r="A557" s="1" t="s">
        <v>611</v>
      </c>
      <c r="C557" s="1" t="s">
        <v>164</v>
      </c>
      <c r="E557" s="16">
        <v>101891</v>
      </c>
      <c r="G557" s="16">
        <v>0</v>
      </c>
      <c r="I557" s="16">
        <v>48113</v>
      </c>
      <c r="K557" s="16">
        <v>0</v>
      </c>
      <c r="M557" s="16">
        <v>3271</v>
      </c>
      <c r="O557" s="16">
        <v>42045</v>
      </c>
      <c r="Q557" s="16">
        <v>3729</v>
      </c>
      <c r="S557" s="16">
        <v>3992</v>
      </c>
      <c r="U557" s="16">
        <v>0</v>
      </c>
      <c r="W557" s="16">
        <v>0</v>
      </c>
      <c r="Y557" s="16">
        <v>0</v>
      </c>
      <c r="AA557" s="16">
        <v>0</v>
      </c>
      <c r="AC557" s="16">
        <v>0</v>
      </c>
      <c r="AE557" s="32">
        <f t="shared" si="8"/>
        <v>203041</v>
      </c>
    </row>
    <row r="558" spans="1:31" ht="12.75" customHeight="1">
      <c r="A558" s="1" t="s">
        <v>387</v>
      </c>
      <c r="C558" s="1" t="s">
        <v>291</v>
      </c>
      <c r="D558" s="16"/>
      <c r="E558" s="16">
        <v>362942</v>
      </c>
      <c r="G558" s="16">
        <v>0</v>
      </c>
      <c r="I558" s="16">
        <v>191222</v>
      </c>
      <c r="K558" s="16">
        <v>0</v>
      </c>
      <c r="M558" s="16">
        <v>66730</v>
      </c>
      <c r="O558" s="16">
        <v>91435</v>
      </c>
      <c r="Q558" s="16">
        <v>31721</v>
      </c>
      <c r="S558" s="16">
        <v>10679</v>
      </c>
      <c r="U558" s="16">
        <v>0</v>
      </c>
      <c r="W558" s="16">
        <v>0</v>
      </c>
      <c r="Y558" s="16">
        <v>50000</v>
      </c>
      <c r="AA558" s="16">
        <v>0</v>
      </c>
      <c r="AC558" s="16">
        <v>0</v>
      </c>
      <c r="AE558" s="32">
        <f t="shared" si="8"/>
        <v>804729</v>
      </c>
    </row>
    <row r="559" spans="1:31" ht="12.75" customHeight="1">
      <c r="A559" s="1" t="s">
        <v>629</v>
      </c>
      <c r="C559" s="1" t="s">
        <v>293</v>
      </c>
      <c r="E559" s="16">
        <v>7415</v>
      </c>
      <c r="G559" s="16">
        <v>25855</v>
      </c>
      <c r="I559" s="16">
        <v>39694</v>
      </c>
      <c r="K559" s="16">
        <v>0</v>
      </c>
      <c r="M559" s="16">
        <v>0</v>
      </c>
      <c r="O559" s="16">
        <v>1480</v>
      </c>
      <c r="Q559" s="16">
        <v>49</v>
      </c>
      <c r="S559" s="16">
        <v>10344</v>
      </c>
      <c r="U559" s="16">
        <v>0</v>
      </c>
      <c r="W559" s="16">
        <v>0</v>
      </c>
      <c r="Y559" s="16">
        <v>0</v>
      </c>
      <c r="AA559" s="16">
        <v>0</v>
      </c>
      <c r="AC559" s="16">
        <v>0</v>
      </c>
      <c r="AE559" s="32">
        <f t="shared" si="8"/>
        <v>84837</v>
      </c>
    </row>
    <row r="560" spans="1:31" ht="12.75" customHeight="1">
      <c r="A560" s="1" t="s">
        <v>490</v>
      </c>
      <c r="C560" s="1" t="s">
        <v>194</v>
      </c>
      <c r="E560" s="16">
        <v>8074</v>
      </c>
      <c r="G560" s="16">
        <v>0</v>
      </c>
      <c r="I560" s="16">
        <v>6154</v>
      </c>
      <c r="K560" s="16">
        <v>0</v>
      </c>
      <c r="M560" s="16">
        <v>0</v>
      </c>
      <c r="O560" s="16">
        <v>17670</v>
      </c>
      <c r="Q560" s="16">
        <v>11014</v>
      </c>
      <c r="S560" s="16">
        <v>18108</v>
      </c>
      <c r="U560" s="16">
        <v>0</v>
      </c>
      <c r="W560" s="16">
        <v>0</v>
      </c>
      <c r="Y560" s="16">
        <v>0</v>
      </c>
      <c r="AA560" s="16">
        <v>0</v>
      </c>
      <c r="AC560" s="16">
        <v>14787</v>
      </c>
      <c r="AE560" s="32">
        <f t="shared" si="8"/>
        <v>75807</v>
      </c>
    </row>
    <row r="561" spans="1:31" ht="12.75" customHeight="1">
      <c r="A561" s="1" t="s">
        <v>721</v>
      </c>
      <c r="C561" s="1" t="s">
        <v>318</v>
      </c>
      <c r="E561" s="16">
        <v>14691</v>
      </c>
      <c r="G561" s="16">
        <v>0</v>
      </c>
      <c r="I561" s="16">
        <v>29313</v>
      </c>
      <c r="K561" s="16">
        <v>0</v>
      </c>
      <c r="M561" s="16">
        <v>140</v>
      </c>
      <c r="O561" s="16">
        <v>2628</v>
      </c>
      <c r="Q561" s="16">
        <v>706</v>
      </c>
      <c r="S561" s="16">
        <v>3668</v>
      </c>
      <c r="U561" s="16">
        <v>0</v>
      </c>
      <c r="W561" s="16">
        <v>0</v>
      </c>
      <c r="Y561" s="16">
        <v>0</v>
      </c>
      <c r="AA561" s="16">
        <v>0</v>
      </c>
      <c r="AC561" s="16">
        <v>0</v>
      </c>
      <c r="AE561" s="32">
        <f t="shared" si="8"/>
        <v>51146</v>
      </c>
    </row>
    <row r="562" spans="1:31" ht="12.75" customHeight="1">
      <c r="A562" s="1" t="s">
        <v>671</v>
      </c>
      <c r="C562" s="1" t="s">
        <v>67</v>
      </c>
      <c r="E562" s="16">
        <v>55192</v>
      </c>
      <c r="G562" s="16">
        <v>130203</v>
      </c>
      <c r="I562" s="16">
        <v>57492</v>
      </c>
      <c r="K562" s="16">
        <v>0</v>
      </c>
      <c r="M562" s="16">
        <v>18221</v>
      </c>
      <c r="O562" s="16">
        <v>18952</v>
      </c>
      <c r="Q562" s="16">
        <v>890</v>
      </c>
      <c r="S562" s="16">
        <v>31286</v>
      </c>
      <c r="U562" s="16">
        <v>0</v>
      </c>
      <c r="W562" s="16">
        <v>0</v>
      </c>
      <c r="Y562" s="16">
        <v>63800</v>
      </c>
      <c r="AA562" s="16">
        <v>0</v>
      </c>
      <c r="AC562" s="16">
        <v>0</v>
      </c>
      <c r="AE562" s="32">
        <f t="shared" si="8"/>
        <v>376036</v>
      </c>
    </row>
    <row r="563" spans="1:31" ht="12.75" customHeight="1">
      <c r="A563" s="1" t="s">
        <v>644</v>
      </c>
      <c r="C563" s="1" t="s">
        <v>274</v>
      </c>
      <c r="E563" s="16">
        <v>45375</v>
      </c>
      <c r="G563" s="16">
        <v>0</v>
      </c>
      <c r="I563" s="16">
        <v>213265</v>
      </c>
      <c r="K563" s="16">
        <v>0</v>
      </c>
      <c r="M563" s="16">
        <v>0</v>
      </c>
      <c r="O563" s="16">
        <v>1927</v>
      </c>
      <c r="Q563" s="16">
        <v>53</v>
      </c>
      <c r="S563" s="16">
        <v>0</v>
      </c>
      <c r="U563" s="16">
        <v>0</v>
      </c>
      <c r="W563" s="16">
        <v>0</v>
      </c>
      <c r="Y563" s="16">
        <v>20727</v>
      </c>
      <c r="AA563" s="16">
        <v>0</v>
      </c>
      <c r="AC563" s="16">
        <v>2357</v>
      </c>
      <c r="AE563" s="32">
        <f t="shared" si="8"/>
        <v>283704</v>
      </c>
    </row>
    <row r="564" spans="1:31" ht="12.75" customHeight="1">
      <c r="A564" s="1" t="s">
        <v>451</v>
      </c>
      <c r="C564" s="1" t="s">
        <v>447</v>
      </c>
      <c r="E564" s="16">
        <v>69689</v>
      </c>
      <c r="G564" s="16">
        <v>0</v>
      </c>
      <c r="I564" s="16">
        <v>120232</v>
      </c>
      <c r="K564" s="16">
        <v>0</v>
      </c>
      <c r="M564" s="16">
        <v>0</v>
      </c>
      <c r="O564" s="16">
        <v>18163</v>
      </c>
      <c r="Q564" s="16">
        <v>8398</v>
      </c>
      <c r="S564" s="16">
        <v>9493</v>
      </c>
      <c r="U564" s="16">
        <v>0</v>
      </c>
      <c r="W564" s="16">
        <v>0</v>
      </c>
      <c r="Y564" s="16">
        <v>261760</v>
      </c>
      <c r="AA564" s="16">
        <v>0</v>
      </c>
      <c r="AC564" s="16">
        <v>0</v>
      </c>
      <c r="AE564" s="32">
        <f t="shared" si="8"/>
        <v>487735</v>
      </c>
    </row>
    <row r="565" spans="1:31" ht="12.75" customHeight="1">
      <c r="A565" s="1" t="s">
        <v>556</v>
      </c>
      <c r="C565" s="1" t="s">
        <v>157</v>
      </c>
      <c r="E565" s="16">
        <v>35281</v>
      </c>
      <c r="G565" s="16">
        <v>0</v>
      </c>
      <c r="I565" s="16">
        <v>46572</v>
      </c>
      <c r="K565" s="16">
        <v>0</v>
      </c>
      <c r="M565" s="16">
        <v>5093</v>
      </c>
      <c r="O565" s="16">
        <v>11426</v>
      </c>
      <c r="Q565" s="16">
        <v>2426</v>
      </c>
      <c r="S565" s="16">
        <v>2205</v>
      </c>
      <c r="U565" s="16">
        <v>0</v>
      </c>
      <c r="W565" s="16">
        <v>0</v>
      </c>
      <c r="Y565" s="16">
        <v>0</v>
      </c>
      <c r="AA565" s="16">
        <v>0</v>
      </c>
      <c r="AC565" s="16">
        <v>0</v>
      </c>
      <c r="AE565" s="32">
        <f t="shared" si="8"/>
        <v>103003</v>
      </c>
    </row>
    <row r="566" spans="1:31" ht="12.75" customHeight="1">
      <c r="A566" s="1" t="s">
        <v>388</v>
      </c>
      <c r="C566" s="1" t="s">
        <v>231</v>
      </c>
      <c r="D566" s="16"/>
      <c r="E566" s="16">
        <v>6237</v>
      </c>
      <c r="G566" s="16">
        <v>0</v>
      </c>
      <c r="I566" s="16">
        <v>45617</v>
      </c>
      <c r="K566" s="16">
        <v>0</v>
      </c>
      <c r="M566" s="16">
        <v>0</v>
      </c>
      <c r="O566" s="16">
        <v>23993</v>
      </c>
      <c r="Q566" s="16">
        <v>0</v>
      </c>
      <c r="S566" s="16">
        <v>5578</v>
      </c>
      <c r="U566" s="16">
        <v>0</v>
      </c>
      <c r="W566" s="16">
        <v>0</v>
      </c>
      <c r="Y566" s="16">
        <v>0</v>
      </c>
      <c r="AA566" s="16">
        <v>0</v>
      </c>
      <c r="AC566" s="16">
        <v>0</v>
      </c>
      <c r="AE566" s="32">
        <f t="shared" si="8"/>
        <v>81425</v>
      </c>
    </row>
    <row r="567" spans="1:31" ht="12.75" customHeight="1">
      <c r="A567" s="1" t="s">
        <v>389</v>
      </c>
      <c r="C567" s="1" t="s">
        <v>246</v>
      </c>
      <c r="D567" s="16"/>
      <c r="E567" s="16">
        <v>1062</v>
      </c>
      <c r="G567" s="16">
        <v>0</v>
      </c>
      <c r="I567" s="16">
        <v>3006</v>
      </c>
      <c r="K567" s="16">
        <v>0</v>
      </c>
      <c r="M567" s="16">
        <v>0</v>
      </c>
      <c r="O567" s="16">
        <v>924</v>
      </c>
      <c r="Q567" s="16">
        <v>463</v>
      </c>
      <c r="S567" s="16">
        <v>0</v>
      </c>
      <c r="U567" s="16">
        <v>0</v>
      </c>
      <c r="W567" s="16">
        <v>0</v>
      </c>
      <c r="Y567" s="16">
        <v>0</v>
      </c>
      <c r="AA567" s="16">
        <v>0</v>
      </c>
      <c r="AC567" s="16">
        <v>0</v>
      </c>
      <c r="AE567" s="32">
        <f t="shared" si="8"/>
        <v>5455</v>
      </c>
    </row>
    <row r="568" spans="1:31" ht="12.75" customHeight="1">
      <c r="A568" s="1" t="s">
        <v>486</v>
      </c>
      <c r="C568" s="1" t="s">
        <v>312</v>
      </c>
      <c r="E568" s="16">
        <v>38535</v>
      </c>
      <c r="G568" s="16">
        <v>0</v>
      </c>
      <c r="I568" s="16">
        <v>71581</v>
      </c>
      <c r="K568" s="16">
        <v>0</v>
      </c>
      <c r="M568" s="16">
        <v>0</v>
      </c>
      <c r="O568" s="16">
        <v>16688</v>
      </c>
      <c r="Q568" s="16">
        <v>8031</v>
      </c>
      <c r="S568" s="16">
        <v>26854</v>
      </c>
      <c r="U568" s="16">
        <v>0</v>
      </c>
      <c r="W568" s="16">
        <v>0</v>
      </c>
      <c r="Y568" s="16">
        <v>300000</v>
      </c>
      <c r="AA568" s="16">
        <v>0</v>
      </c>
      <c r="AC568" s="16">
        <v>0</v>
      </c>
      <c r="AE568" s="32">
        <f t="shared" si="8"/>
        <v>461689</v>
      </c>
    </row>
    <row r="569" spans="1:31" ht="12.75" customHeight="1">
      <c r="A569" s="1" t="s">
        <v>390</v>
      </c>
      <c r="C569" s="1" t="s">
        <v>80</v>
      </c>
      <c r="D569" s="16"/>
      <c r="E569" s="16">
        <v>2916</v>
      </c>
      <c r="G569" s="16">
        <v>0</v>
      </c>
      <c r="I569" s="16">
        <v>4439</v>
      </c>
      <c r="K569" s="16">
        <v>0</v>
      </c>
      <c r="M569" s="16">
        <v>0</v>
      </c>
      <c r="O569" s="16">
        <v>0</v>
      </c>
      <c r="Q569" s="16">
        <v>0</v>
      </c>
      <c r="S569" s="16">
        <v>122</v>
      </c>
      <c r="U569" s="16">
        <v>0</v>
      </c>
      <c r="W569" s="16">
        <v>0</v>
      </c>
      <c r="Y569" s="16">
        <v>0</v>
      </c>
      <c r="AA569" s="16">
        <v>0</v>
      </c>
      <c r="AC569" s="16">
        <v>0</v>
      </c>
      <c r="AE569" s="32">
        <f t="shared" si="8"/>
        <v>7477</v>
      </c>
    </row>
    <row r="570" spans="1:31" ht="12.75" customHeight="1">
      <c r="A570" s="1" t="s">
        <v>663</v>
      </c>
      <c r="C570" s="1" t="s">
        <v>280</v>
      </c>
      <c r="E570" s="16">
        <v>15732</v>
      </c>
      <c r="G570" s="16">
        <v>0</v>
      </c>
      <c r="I570" s="16">
        <v>15315</v>
      </c>
      <c r="K570" s="16">
        <v>0</v>
      </c>
      <c r="M570" s="16">
        <v>0</v>
      </c>
      <c r="O570" s="16">
        <v>0</v>
      </c>
      <c r="Q570" s="16">
        <v>1047</v>
      </c>
      <c r="S570" s="16">
        <v>5119</v>
      </c>
      <c r="U570" s="16">
        <v>0</v>
      </c>
      <c r="W570" s="16">
        <v>0</v>
      </c>
      <c r="Y570" s="16">
        <v>0</v>
      </c>
      <c r="AA570" s="16">
        <v>0</v>
      </c>
      <c r="AC570" s="16">
        <v>82</v>
      </c>
      <c r="AE570" s="32">
        <f t="shared" si="8"/>
        <v>37295</v>
      </c>
    </row>
    <row r="571" spans="1:31" ht="12.75" customHeight="1">
      <c r="A571" s="1" t="s">
        <v>741</v>
      </c>
      <c r="C571" s="1" t="s">
        <v>96</v>
      </c>
      <c r="E571" s="16">
        <v>5264</v>
      </c>
      <c r="G571" s="16">
        <v>19257</v>
      </c>
      <c r="I571" s="16">
        <v>7538</v>
      </c>
      <c r="K571" s="16">
        <v>0</v>
      </c>
      <c r="M571" s="16">
        <v>0</v>
      </c>
      <c r="O571" s="16">
        <v>67</v>
      </c>
      <c r="Q571" s="16">
        <v>254</v>
      </c>
      <c r="S571" s="16">
        <v>761</v>
      </c>
      <c r="U571" s="16">
        <v>0</v>
      </c>
      <c r="W571" s="16">
        <v>0</v>
      </c>
      <c r="Y571" s="16">
        <v>0</v>
      </c>
      <c r="AA571" s="16">
        <v>0</v>
      </c>
      <c r="AC571" s="16">
        <v>0</v>
      </c>
      <c r="AE571" s="32">
        <f t="shared" si="8"/>
        <v>33141</v>
      </c>
    </row>
    <row r="572" spans="1:31" ht="12.75" customHeight="1">
      <c r="A572" s="1" t="s">
        <v>391</v>
      </c>
      <c r="C572" s="1" t="s">
        <v>96</v>
      </c>
      <c r="D572" s="16"/>
      <c r="E572" s="16">
        <v>74843</v>
      </c>
      <c r="G572" s="16">
        <v>0</v>
      </c>
      <c r="I572" s="16">
        <v>99236</v>
      </c>
      <c r="K572" s="16">
        <v>0</v>
      </c>
      <c r="M572" s="16">
        <v>67278</v>
      </c>
      <c r="O572" s="16">
        <v>7680</v>
      </c>
      <c r="Q572" s="16">
        <v>10170</v>
      </c>
      <c r="S572" s="16">
        <v>110019</v>
      </c>
      <c r="U572" s="16">
        <v>0</v>
      </c>
      <c r="W572" s="16">
        <v>0</v>
      </c>
      <c r="Y572" s="16">
        <v>180000</v>
      </c>
      <c r="AA572" s="16">
        <v>0</v>
      </c>
      <c r="AC572" s="16">
        <v>0</v>
      </c>
      <c r="AE572" s="32">
        <f t="shared" si="8"/>
        <v>549226</v>
      </c>
    </row>
    <row r="573" spans="1:31" ht="12.75" customHeight="1">
      <c r="A573" s="1" t="s">
        <v>392</v>
      </c>
      <c r="C573" s="1" t="s">
        <v>69</v>
      </c>
      <c r="D573" s="16"/>
      <c r="E573" s="16">
        <v>418407</v>
      </c>
      <c r="G573" s="16">
        <v>0</v>
      </c>
      <c r="I573" s="16">
        <v>558711</v>
      </c>
      <c r="K573" s="16">
        <v>0</v>
      </c>
      <c r="M573" s="16">
        <v>3309</v>
      </c>
      <c r="O573" s="16">
        <v>1390</v>
      </c>
      <c r="Q573" s="16">
        <v>1129</v>
      </c>
      <c r="S573" s="16">
        <v>7365</v>
      </c>
      <c r="U573" s="16">
        <v>450000</v>
      </c>
      <c r="W573" s="16">
        <v>0</v>
      </c>
      <c r="Y573" s="16">
        <v>0</v>
      </c>
      <c r="AA573" s="16">
        <v>0</v>
      </c>
      <c r="AC573" s="16">
        <v>3352</v>
      </c>
      <c r="AE573" s="32">
        <f t="shared" si="8"/>
        <v>1443663</v>
      </c>
    </row>
    <row r="574" spans="1:31" ht="12.75" customHeight="1">
      <c r="A574" s="1" t="s">
        <v>393</v>
      </c>
      <c r="C574" s="1" t="s">
        <v>190</v>
      </c>
      <c r="D574" s="16"/>
      <c r="E574" s="16">
        <v>361407</v>
      </c>
      <c r="G574" s="16">
        <v>875</v>
      </c>
      <c r="I574" s="16">
        <v>121598</v>
      </c>
      <c r="K574" s="16">
        <v>0</v>
      </c>
      <c r="M574" s="16">
        <v>3771</v>
      </c>
      <c r="O574" s="16">
        <v>23927</v>
      </c>
      <c r="Q574" s="16">
        <v>20448</v>
      </c>
      <c r="S574" s="16">
        <v>2196</v>
      </c>
      <c r="U574" s="16">
        <v>0</v>
      </c>
      <c r="W574" s="16">
        <v>0</v>
      </c>
      <c r="Y574" s="16">
        <v>0</v>
      </c>
      <c r="AA574" s="16">
        <v>0</v>
      </c>
      <c r="AC574" s="16">
        <v>0</v>
      </c>
      <c r="AE574" s="32">
        <f t="shared" si="8"/>
        <v>534222</v>
      </c>
    </row>
    <row r="575" spans="1:31" ht="12.75" customHeight="1">
      <c r="A575" s="1" t="s">
        <v>693</v>
      </c>
      <c r="C575" s="1" t="s">
        <v>137</v>
      </c>
      <c r="E575" s="16">
        <v>41720</v>
      </c>
      <c r="G575" s="16">
        <v>0</v>
      </c>
      <c r="I575" s="16">
        <v>57233</v>
      </c>
      <c r="K575" s="16">
        <v>0</v>
      </c>
      <c r="M575" s="16">
        <v>0</v>
      </c>
      <c r="O575" s="16">
        <v>2313</v>
      </c>
      <c r="Q575" s="16">
        <v>3883</v>
      </c>
      <c r="S575" s="16">
        <v>0</v>
      </c>
      <c r="U575" s="16">
        <v>0</v>
      </c>
      <c r="W575" s="16">
        <v>0</v>
      </c>
      <c r="Y575" s="16">
        <v>0</v>
      </c>
      <c r="AA575" s="16">
        <v>0</v>
      </c>
      <c r="AC575" s="16">
        <v>0</v>
      </c>
      <c r="AE575" s="32">
        <f t="shared" si="8"/>
        <v>105149</v>
      </c>
    </row>
    <row r="576" spans="1:31" ht="12.75" customHeight="1">
      <c r="A576" s="1" t="s">
        <v>535</v>
      </c>
      <c r="C576" s="1" t="s">
        <v>98</v>
      </c>
      <c r="E576" s="16">
        <v>19386</v>
      </c>
      <c r="G576" s="16">
        <v>80321</v>
      </c>
      <c r="I576" s="16">
        <v>19590</v>
      </c>
      <c r="K576" s="16">
        <v>0</v>
      </c>
      <c r="M576" s="16">
        <v>0</v>
      </c>
      <c r="O576" s="16">
        <v>5666</v>
      </c>
      <c r="Q576" s="16">
        <v>1525</v>
      </c>
      <c r="S576" s="16">
        <v>300</v>
      </c>
      <c r="U576" s="16">
        <v>0</v>
      </c>
      <c r="W576" s="16">
        <v>0</v>
      </c>
      <c r="Y576" s="16">
        <v>0</v>
      </c>
      <c r="AA576" s="16">
        <v>0</v>
      </c>
      <c r="AC576" s="16">
        <v>0</v>
      </c>
      <c r="AE576" s="32">
        <f t="shared" si="8"/>
        <v>126788</v>
      </c>
    </row>
    <row r="577" spans="1:31" ht="12.75" customHeight="1">
      <c r="A577" s="1" t="s">
        <v>394</v>
      </c>
      <c r="C577" s="1" t="s">
        <v>96</v>
      </c>
      <c r="D577" s="16"/>
      <c r="E577" s="16">
        <v>236204</v>
      </c>
      <c r="G577" s="16">
        <v>380201</v>
      </c>
      <c r="I577" s="16">
        <v>128738</v>
      </c>
      <c r="K577" s="16">
        <v>0</v>
      </c>
      <c r="M577" s="16">
        <v>84365</v>
      </c>
      <c r="O577" s="16">
        <v>4336</v>
      </c>
      <c r="Q577" s="16">
        <v>20529</v>
      </c>
      <c r="S577" s="16">
        <v>19352</v>
      </c>
      <c r="U577" s="16">
        <v>0</v>
      </c>
      <c r="W577" s="16">
        <v>1000</v>
      </c>
      <c r="Y577" s="16">
        <v>0</v>
      </c>
      <c r="AA577" s="16">
        <v>0</v>
      </c>
      <c r="AC577" s="16">
        <v>10</v>
      </c>
      <c r="AE577" s="32">
        <f t="shared" si="8"/>
        <v>874735</v>
      </c>
    </row>
    <row r="578" spans="1:31" ht="12.75" customHeight="1">
      <c r="A578" s="1" t="s">
        <v>672</v>
      </c>
      <c r="C578" s="1" t="s">
        <v>104</v>
      </c>
      <c r="E578" s="16">
        <v>8578</v>
      </c>
      <c r="G578" s="16">
        <v>0</v>
      </c>
      <c r="I578" s="16">
        <v>12676</v>
      </c>
      <c r="K578" s="16">
        <v>0</v>
      </c>
      <c r="M578" s="16">
        <v>0</v>
      </c>
      <c r="O578" s="16">
        <v>0</v>
      </c>
      <c r="Q578" s="16">
        <v>41</v>
      </c>
      <c r="S578" s="16">
        <v>0</v>
      </c>
      <c r="U578" s="16">
        <v>0</v>
      </c>
      <c r="W578" s="16">
        <v>0</v>
      </c>
      <c r="Y578" s="16">
        <v>0</v>
      </c>
      <c r="AA578" s="16">
        <v>0</v>
      </c>
      <c r="AC578" s="16">
        <v>0</v>
      </c>
      <c r="AE578" s="32">
        <f t="shared" si="8"/>
        <v>21295</v>
      </c>
    </row>
    <row r="579" spans="1:31" ht="12.75" customHeight="1">
      <c r="A579" s="1" t="s">
        <v>510</v>
      </c>
      <c r="C579" s="1" t="s">
        <v>414</v>
      </c>
      <c r="E579" s="16">
        <v>4660</v>
      </c>
      <c r="G579" s="16">
        <v>0</v>
      </c>
      <c r="I579" s="16">
        <v>16926</v>
      </c>
      <c r="K579" s="16">
        <v>0</v>
      </c>
      <c r="M579" s="16">
        <v>0</v>
      </c>
      <c r="O579" s="16">
        <v>8075</v>
      </c>
      <c r="Q579" s="16">
        <v>17</v>
      </c>
      <c r="S579" s="16">
        <v>518</v>
      </c>
      <c r="U579" s="16">
        <v>0</v>
      </c>
      <c r="W579" s="16">
        <v>0</v>
      </c>
      <c r="Y579" s="16">
        <v>0</v>
      </c>
      <c r="AA579" s="16">
        <v>0</v>
      </c>
      <c r="AC579" s="16">
        <v>0</v>
      </c>
      <c r="AE579" s="32">
        <f t="shared" si="8"/>
        <v>30196</v>
      </c>
    </row>
    <row r="580" spans="1:31" ht="12.75" customHeight="1">
      <c r="A580" s="1" t="s">
        <v>395</v>
      </c>
      <c r="C580" s="1" t="s">
        <v>90</v>
      </c>
      <c r="D580" s="16"/>
      <c r="E580" s="16">
        <v>244914</v>
      </c>
      <c r="G580" s="16">
        <v>1439615</v>
      </c>
      <c r="I580" s="16">
        <v>239685</v>
      </c>
      <c r="K580" s="16">
        <v>0</v>
      </c>
      <c r="M580" s="16">
        <v>67000</v>
      </c>
      <c r="O580" s="16">
        <v>137591</v>
      </c>
      <c r="Q580" s="16">
        <v>8003</v>
      </c>
      <c r="S580" s="16">
        <v>168536</v>
      </c>
      <c r="U580" s="16">
        <v>1295000</v>
      </c>
      <c r="W580" s="16">
        <v>0</v>
      </c>
      <c r="Y580" s="16">
        <v>0</v>
      </c>
      <c r="AA580" s="16">
        <v>0</v>
      </c>
      <c r="AC580" s="16">
        <v>0</v>
      </c>
      <c r="AE580" s="32">
        <f t="shared" si="8"/>
        <v>3600344</v>
      </c>
    </row>
    <row r="581" spans="1:31" ht="12.75" customHeight="1">
      <c r="A581" s="1" t="s">
        <v>396</v>
      </c>
      <c r="C581" s="1" t="s">
        <v>87</v>
      </c>
      <c r="D581" s="16"/>
      <c r="E581" s="16">
        <v>110197</v>
      </c>
      <c r="G581" s="16">
        <v>0</v>
      </c>
      <c r="I581" s="16">
        <v>168980</v>
      </c>
      <c r="K581" s="16">
        <v>0</v>
      </c>
      <c r="M581" s="16">
        <v>48372</v>
      </c>
      <c r="O581" s="16">
        <v>69702</v>
      </c>
      <c r="Q581" s="16">
        <v>5586</v>
      </c>
      <c r="S581" s="16">
        <v>12593</v>
      </c>
      <c r="U581" s="16">
        <v>0</v>
      </c>
      <c r="W581" s="16">
        <v>0</v>
      </c>
      <c r="Y581" s="16">
        <v>756400</v>
      </c>
      <c r="AA581" s="16">
        <v>0</v>
      </c>
      <c r="AC581" s="16">
        <v>0</v>
      </c>
      <c r="AE581" s="32">
        <f t="shared" si="8"/>
        <v>1171830</v>
      </c>
    </row>
    <row r="582" spans="1:31" ht="12.75" customHeight="1">
      <c r="A582" s="1" t="s">
        <v>781</v>
      </c>
      <c r="C582" s="1" t="s">
        <v>151</v>
      </c>
      <c r="E582" s="16">
        <v>49473</v>
      </c>
      <c r="G582" s="16">
        <v>0</v>
      </c>
      <c r="I582" s="16">
        <v>81254</v>
      </c>
      <c r="K582" s="16">
        <v>0</v>
      </c>
      <c r="M582" s="16">
        <v>1912</v>
      </c>
      <c r="O582" s="16">
        <v>4303</v>
      </c>
      <c r="Q582" s="16">
        <v>6998</v>
      </c>
      <c r="S582" s="16">
        <v>45723</v>
      </c>
      <c r="U582" s="16">
        <v>0</v>
      </c>
      <c r="W582" s="16">
        <v>0</v>
      </c>
      <c r="Y582" s="16">
        <v>68157</v>
      </c>
      <c r="AA582" s="16">
        <v>15000</v>
      </c>
      <c r="AC582" s="16">
        <v>0</v>
      </c>
      <c r="AE582" s="32">
        <f t="shared" si="8"/>
        <v>272820</v>
      </c>
    </row>
    <row r="583" spans="1:31" ht="12.75" customHeight="1">
      <c r="A583" s="1" t="s">
        <v>649</v>
      </c>
      <c r="C583" s="1" t="s">
        <v>372</v>
      </c>
      <c r="E583" s="16">
        <v>27613</v>
      </c>
      <c r="G583" s="16">
        <v>0</v>
      </c>
      <c r="I583" s="16">
        <v>36348</v>
      </c>
      <c r="K583" s="16">
        <v>0</v>
      </c>
      <c r="M583" s="16">
        <v>2016</v>
      </c>
      <c r="O583" s="16">
        <v>19346</v>
      </c>
      <c r="Q583" s="16">
        <v>1511</v>
      </c>
      <c r="S583" s="16">
        <v>36992</v>
      </c>
      <c r="U583" s="16">
        <v>0</v>
      </c>
      <c r="W583" s="16">
        <v>0</v>
      </c>
      <c r="Y583" s="16">
        <v>0</v>
      </c>
      <c r="AA583" s="16">
        <v>24503</v>
      </c>
      <c r="AC583" s="16">
        <v>0</v>
      </c>
      <c r="AE583" s="32">
        <f t="shared" si="8"/>
        <v>148329</v>
      </c>
    </row>
    <row r="584" spans="1:31" ht="12.75" customHeight="1">
      <c r="A584" s="1" t="s">
        <v>688</v>
      </c>
      <c r="C584" s="1" t="s">
        <v>184</v>
      </c>
      <c r="E584" s="16">
        <v>6074</v>
      </c>
      <c r="G584" s="16">
        <v>0</v>
      </c>
      <c r="I584" s="16">
        <v>26099</v>
      </c>
      <c r="K584" s="16">
        <v>0</v>
      </c>
      <c r="M584" s="16">
        <v>0</v>
      </c>
      <c r="O584" s="16">
        <v>0</v>
      </c>
      <c r="Q584" s="16">
        <v>360</v>
      </c>
      <c r="S584" s="16">
        <v>4947</v>
      </c>
      <c r="U584" s="16">
        <v>0</v>
      </c>
      <c r="W584" s="16">
        <v>0</v>
      </c>
      <c r="Y584" s="16">
        <v>0</v>
      </c>
      <c r="AA584" s="16">
        <v>0</v>
      </c>
      <c r="AC584" s="16">
        <v>0</v>
      </c>
      <c r="AE584" s="32">
        <f t="shared" si="8"/>
        <v>37480</v>
      </c>
    </row>
    <row r="585" spans="1:31" ht="12.75" customHeight="1">
      <c r="A585" s="1" t="s">
        <v>397</v>
      </c>
      <c r="C585" s="1" t="s">
        <v>73</v>
      </c>
      <c r="D585" s="16"/>
      <c r="E585" s="16">
        <v>715164</v>
      </c>
      <c r="G585" s="16">
        <v>0</v>
      </c>
      <c r="I585" s="16">
        <v>572854</v>
      </c>
      <c r="K585" s="16">
        <v>0</v>
      </c>
      <c r="M585" s="16">
        <v>0</v>
      </c>
      <c r="O585" s="16">
        <v>93507</v>
      </c>
      <c r="Q585" s="16">
        <v>11762</v>
      </c>
      <c r="S585" s="16">
        <v>11245</v>
      </c>
      <c r="U585" s="16">
        <v>0</v>
      </c>
      <c r="W585" s="16">
        <v>0</v>
      </c>
      <c r="Y585" s="16">
        <v>0</v>
      </c>
      <c r="AA585" s="16">
        <v>0</v>
      </c>
      <c r="AC585" s="16">
        <v>807</v>
      </c>
      <c r="AE585" s="32">
        <f t="shared" si="8"/>
        <v>1405339</v>
      </c>
    </row>
    <row r="586" spans="1:31" ht="12.75" customHeight="1">
      <c r="A586" s="1" t="s">
        <v>398</v>
      </c>
      <c r="C586" s="1" t="s">
        <v>179</v>
      </c>
      <c r="D586" s="16"/>
      <c r="E586" s="16">
        <v>59320</v>
      </c>
      <c r="G586" s="16">
        <v>0</v>
      </c>
      <c r="I586" s="16">
        <v>8846</v>
      </c>
      <c r="K586" s="16">
        <v>0</v>
      </c>
      <c r="M586" s="16">
        <v>0</v>
      </c>
      <c r="O586" s="16">
        <v>4733</v>
      </c>
      <c r="Q586" s="16">
        <v>515</v>
      </c>
      <c r="S586" s="16">
        <v>11756</v>
      </c>
      <c r="U586" s="16">
        <v>0</v>
      </c>
      <c r="W586" s="16">
        <v>0</v>
      </c>
      <c r="Y586" s="16">
        <v>0</v>
      </c>
      <c r="AA586" s="16">
        <v>0</v>
      </c>
      <c r="AC586" s="16">
        <v>0</v>
      </c>
      <c r="AE586" s="32">
        <f t="shared" si="8"/>
        <v>85170</v>
      </c>
    </row>
    <row r="587" spans="1:31" ht="12.75" customHeight="1">
      <c r="A587" s="1" t="s">
        <v>536</v>
      </c>
      <c r="C587" s="1" t="s">
        <v>98</v>
      </c>
      <c r="E587" s="16">
        <v>10243</v>
      </c>
      <c r="G587" s="16">
        <v>0</v>
      </c>
      <c r="I587" s="16">
        <v>17235</v>
      </c>
      <c r="K587" s="16">
        <v>0</v>
      </c>
      <c r="M587" s="16">
        <v>0</v>
      </c>
      <c r="O587" s="16">
        <v>0</v>
      </c>
      <c r="Q587" s="16">
        <v>3859</v>
      </c>
      <c r="S587" s="16">
        <v>2892</v>
      </c>
      <c r="U587" s="16">
        <v>0</v>
      </c>
      <c r="W587" s="16">
        <v>0</v>
      </c>
      <c r="Y587" s="16">
        <v>0</v>
      </c>
      <c r="AA587" s="16">
        <v>0</v>
      </c>
      <c r="AC587" s="16">
        <v>0</v>
      </c>
      <c r="AE587" s="32">
        <f t="shared" si="8"/>
        <v>34229</v>
      </c>
    </row>
    <row r="588" spans="1:31" ht="12.75" customHeight="1">
      <c r="A588" s="1" t="s">
        <v>602</v>
      </c>
      <c r="C588" s="1" t="s">
        <v>69</v>
      </c>
      <c r="E588" s="16">
        <v>66656</v>
      </c>
      <c r="G588" s="16">
        <v>0</v>
      </c>
      <c r="I588" s="16">
        <v>44295</v>
      </c>
      <c r="K588" s="16">
        <v>0</v>
      </c>
      <c r="M588" s="16">
        <v>0</v>
      </c>
      <c r="O588" s="16">
        <v>11085</v>
      </c>
      <c r="Q588" s="16">
        <v>8902</v>
      </c>
      <c r="S588" s="16">
        <v>12510</v>
      </c>
      <c r="U588" s="16">
        <v>0</v>
      </c>
      <c r="W588" s="16">
        <v>0</v>
      </c>
      <c r="Y588" s="16">
        <v>20000</v>
      </c>
      <c r="AA588" s="16">
        <v>0</v>
      </c>
      <c r="AC588" s="16">
        <v>0</v>
      </c>
      <c r="AE588" s="32">
        <f t="shared" si="8"/>
        <v>163448</v>
      </c>
    </row>
    <row r="589" spans="1:31" ht="12.75" customHeight="1">
      <c r="A589" s="1" t="s">
        <v>399</v>
      </c>
      <c r="C589" s="1" t="s">
        <v>197</v>
      </c>
      <c r="D589" s="16"/>
      <c r="E589" s="16">
        <f>138457</f>
        <v>138457</v>
      </c>
      <c r="G589" s="16">
        <v>70082</v>
      </c>
      <c r="I589" s="16">
        <v>67880</v>
      </c>
      <c r="K589" s="16">
        <v>0</v>
      </c>
      <c r="M589" s="16">
        <v>8217</v>
      </c>
      <c r="O589" s="16">
        <v>15323</v>
      </c>
      <c r="Q589" s="16">
        <v>811</v>
      </c>
      <c r="S589" s="16">
        <v>14903</v>
      </c>
      <c r="U589" s="16">
        <v>0</v>
      </c>
      <c r="W589" s="16">
        <v>0</v>
      </c>
      <c r="Y589" s="16">
        <v>0</v>
      </c>
      <c r="AA589" s="16">
        <v>0</v>
      </c>
      <c r="AC589" s="16">
        <v>0</v>
      </c>
      <c r="AE589" s="32">
        <f t="shared" si="8"/>
        <v>315673</v>
      </c>
    </row>
    <row r="590" spans="1:31" ht="12.75" customHeight="1">
      <c r="A590" s="1" t="s">
        <v>514</v>
      </c>
      <c r="C590" s="1" t="s">
        <v>160</v>
      </c>
      <c r="E590" s="16">
        <v>6442</v>
      </c>
      <c r="G590" s="16">
        <v>0</v>
      </c>
      <c r="I590" s="16">
        <v>12625</v>
      </c>
      <c r="K590" s="16">
        <v>0</v>
      </c>
      <c r="M590" s="16">
        <v>100</v>
      </c>
      <c r="O590" s="16">
        <v>0</v>
      </c>
      <c r="Q590" s="16">
        <v>218</v>
      </c>
      <c r="S590" s="16">
        <v>618</v>
      </c>
      <c r="U590" s="16">
        <v>0</v>
      </c>
      <c r="W590" s="16">
        <v>0</v>
      </c>
      <c r="Y590" s="16">
        <v>0</v>
      </c>
      <c r="AA590" s="16">
        <v>0</v>
      </c>
      <c r="AC590" s="16">
        <v>0</v>
      </c>
      <c r="AE590" s="32">
        <f t="shared" si="8"/>
        <v>20003</v>
      </c>
    </row>
    <row r="591" spans="1:31" ht="12.75" customHeight="1">
      <c r="A591" s="1" t="s">
        <v>400</v>
      </c>
      <c r="C591" s="1" t="s">
        <v>94</v>
      </c>
      <c r="D591" s="16"/>
      <c r="E591" s="16">
        <v>4742</v>
      </c>
      <c r="G591" s="16">
        <v>0</v>
      </c>
      <c r="I591" s="16">
        <v>10248</v>
      </c>
      <c r="K591" s="16">
        <v>0</v>
      </c>
      <c r="M591" s="16">
        <v>0</v>
      </c>
      <c r="O591" s="16">
        <v>625</v>
      </c>
      <c r="Q591" s="16">
        <v>9314</v>
      </c>
      <c r="S591" s="16">
        <v>4993</v>
      </c>
      <c r="U591" s="16">
        <v>0</v>
      </c>
      <c r="W591" s="16">
        <v>0</v>
      </c>
      <c r="Y591" s="16">
        <v>54276</v>
      </c>
      <c r="AA591" s="16">
        <v>0</v>
      </c>
      <c r="AC591" s="16">
        <v>1235</v>
      </c>
      <c r="AE591" s="32">
        <f t="shared" si="8"/>
        <v>85433</v>
      </c>
    </row>
    <row r="592" spans="1:31" ht="12.75" customHeight="1">
      <c r="A592" s="1" t="s">
        <v>784</v>
      </c>
      <c r="D592" s="1"/>
      <c r="E592" s="1"/>
      <c r="F592" s="1"/>
      <c r="G592" s="1"/>
      <c r="AA592" s="16"/>
      <c r="AC592" s="16"/>
      <c r="AE592" s="32" t="s">
        <v>785</v>
      </c>
    </row>
    <row r="593" spans="1:44" s="36" customFormat="1" ht="12.75" customHeight="1">
      <c r="A593" s="36" t="s">
        <v>491</v>
      </c>
      <c r="C593" s="36" t="s">
        <v>194</v>
      </c>
      <c r="D593" s="42"/>
      <c r="E593" s="36">
        <v>40227</v>
      </c>
      <c r="G593" s="36">
        <v>0</v>
      </c>
      <c r="I593" s="36">
        <v>3651</v>
      </c>
      <c r="K593" s="36">
        <v>0</v>
      </c>
      <c r="M593" s="36">
        <v>0</v>
      </c>
      <c r="O593" s="36">
        <v>29026</v>
      </c>
      <c r="Q593" s="36">
        <v>471</v>
      </c>
      <c r="S593" s="36">
        <v>1263</v>
      </c>
      <c r="U593" s="36">
        <v>0</v>
      </c>
      <c r="W593" s="36">
        <v>0</v>
      </c>
      <c r="Y593" s="36">
        <v>0</v>
      </c>
      <c r="AA593" s="36">
        <v>0</v>
      </c>
      <c r="AB593" s="37"/>
      <c r="AC593" s="36">
        <v>0</v>
      </c>
      <c r="AD593" s="37"/>
      <c r="AE593" s="38">
        <f t="shared" si="8"/>
        <v>74638</v>
      </c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</row>
    <row r="594" spans="1:44" s="16" customFormat="1" ht="12.75" customHeight="1">
      <c r="A594" s="16" t="s">
        <v>460</v>
      </c>
      <c r="C594" s="16" t="s">
        <v>71</v>
      </c>
      <c r="D594" s="41"/>
      <c r="E594" s="16">
        <v>28357</v>
      </c>
      <c r="G594" s="16">
        <v>0</v>
      </c>
      <c r="I594" s="16">
        <v>11476</v>
      </c>
      <c r="K594" s="16">
        <v>0</v>
      </c>
      <c r="M594" s="16">
        <v>0</v>
      </c>
      <c r="O594" s="16">
        <v>6755</v>
      </c>
      <c r="Q594" s="16">
        <v>330</v>
      </c>
      <c r="S594" s="16">
        <v>27822</v>
      </c>
      <c r="U594" s="16">
        <v>0</v>
      </c>
      <c r="W594" s="16">
        <v>0</v>
      </c>
      <c r="Y594" s="16">
        <v>0</v>
      </c>
      <c r="AA594" s="16">
        <v>0</v>
      </c>
      <c r="AB594" s="20"/>
      <c r="AC594" s="16">
        <v>0</v>
      </c>
      <c r="AD594" s="20"/>
      <c r="AE594" s="32">
        <f aca="true" t="shared" si="9" ref="AE594:AE662">SUM(E594:AC594)</f>
        <v>74740</v>
      </c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</row>
    <row r="595" spans="1:31" ht="12.75" customHeight="1">
      <c r="A595" s="1" t="s">
        <v>96</v>
      </c>
      <c r="C595" s="1" t="s">
        <v>96</v>
      </c>
      <c r="E595" s="16">
        <v>35634</v>
      </c>
      <c r="G595" s="16">
        <v>58610</v>
      </c>
      <c r="I595" s="16">
        <v>41688</v>
      </c>
      <c r="K595" s="16">
        <v>0</v>
      </c>
      <c r="M595" s="16">
        <v>49543</v>
      </c>
      <c r="O595" s="16">
        <v>2719</v>
      </c>
      <c r="Q595" s="16">
        <v>4279</v>
      </c>
      <c r="S595" s="16">
        <v>12376</v>
      </c>
      <c r="U595" s="16">
        <v>0</v>
      </c>
      <c r="W595" s="16">
        <v>0</v>
      </c>
      <c r="Y595" s="16">
        <v>0</v>
      </c>
      <c r="AA595" s="16">
        <v>0</v>
      </c>
      <c r="AC595" s="16">
        <v>0</v>
      </c>
      <c r="AE595" s="32">
        <f t="shared" si="9"/>
        <v>204849</v>
      </c>
    </row>
    <row r="596" spans="1:31" ht="12.75" customHeight="1">
      <c r="A596" s="1" t="s">
        <v>401</v>
      </c>
      <c r="C596" s="1" t="s">
        <v>78</v>
      </c>
      <c r="D596" s="16"/>
      <c r="E596" s="16">
        <v>408784</v>
      </c>
      <c r="G596" s="16">
        <v>0</v>
      </c>
      <c r="I596" s="16">
        <v>58109</v>
      </c>
      <c r="K596" s="16">
        <v>0</v>
      </c>
      <c r="M596" s="16">
        <v>69656</v>
      </c>
      <c r="O596" s="16">
        <v>39374</v>
      </c>
      <c r="Q596" s="16">
        <v>16037</v>
      </c>
      <c r="S596" s="16">
        <v>22813</v>
      </c>
      <c r="U596" s="16">
        <v>54426</v>
      </c>
      <c r="W596" s="16">
        <v>1000</v>
      </c>
      <c r="Y596" s="16">
        <v>0</v>
      </c>
      <c r="AA596" s="16">
        <v>963</v>
      </c>
      <c r="AC596" s="16">
        <v>0</v>
      </c>
      <c r="AE596" s="32">
        <f t="shared" si="9"/>
        <v>671162</v>
      </c>
    </row>
    <row r="597" spans="1:31" ht="12.75" customHeight="1">
      <c r="A597" s="1" t="s">
        <v>747</v>
      </c>
      <c r="C597" s="1" t="s">
        <v>744</v>
      </c>
      <c r="E597" s="16">
        <v>10168</v>
      </c>
      <c r="G597" s="16">
        <v>0</v>
      </c>
      <c r="I597" s="16">
        <v>2551</v>
      </c>
      <c r="K597" s="16">
        <v>0</v>
      </c>
      <c r="M597" s="16">
        <v>0</v>
      </c>
      <c r="O597" s="16">
        <v>1565</v>
      </c>
      <c r="Q597" s="16">
        <v>184</v>
      </c>
      <c r="S597" s="16">
        <v>0</v>
      </c>
      <c r="U597" s="16">
        <v>0</v>
      </c>
      <c r="W597" s="16">
        <v>0</v>
      </c>
      <c r="Y597" s="16">
        <v>0</v>
      </c>
      <c r="AA597" s="16">
        <v>0</v>
      </c>
      <c r="AC597" s="16">
        <v>0</v>
      </c>
      <c r="AE597" s="32">
        <f t="shared" si="9"/>
        <v>14468</v>
      </c>
    </row>
    <row r="598" spans="1:31" ht="12.75" customHeight="1">
      <c r="A598" s="1" t="s">
        <v>463</v>
      </c>
      <c r="C598" s="1" t="s">
        <v>177</v>
      </c>
      <c r="E598" s="16">
        <v>4758</v>
      </c>
      <c r="G598" s="16">
        <v>0</v>
      </c>
      <c r="I598" s="16">
        <v>73473</v>
      </c>
      <c r="K598" s="16">
        <v>0</v>
      </c>
      <c r="M598" s="16">
        <v>0</v>
      </c>
      <c r="O598" s="16">
        <v>0</v>
      </c>
      <c r="Q598" s="16">
        <v>2234</v>
      </c>
      <c r="S598" s="16">
        <v>2426</v>
      </c>
      <c r="U598" s="16">
        <v>0</v>
      </c>
      <c r="W598" s="16">
        <v>0</v>
      </c>
      <c r="Y598" s="16">
        <v>0</v>
      </c>
      <c r="AA598" s="16">
        <v>0</v>
      </c>
      <c r="AC598" s="16">
        <v>0</v>
      </c>
      <c r="AE598" s="32">
        <f t="shared" si="9"/>
        <v>82891</v>
      </c>
    </row>
    <row r="599" spans="1:31" ht="12.75" customHeight="1">
      <c r="A599" s="1" t="s">
        <v>547</v>
      </c>
      <c r="C599" s="1" t="s">
        <v>149</v>
      </c>
      <c r="E599" s="16">
        <v>16801</v>
      </c>
      <c r="G599" s="16">
        <v>277834</v>
      </c>
      <c r="I599" s="16">
        <v>138597</v>
      </c>
      <c r="K599" s="16">
        <v>0</v>
      </c>
      <c r="M599" s="16">
        <v>0</v>
      </c>
      <c r="O599" s="16">
        <v>123844</v>
      </c>
      <c r="Q599" s="16">
        <v>4056</v>
      </c>
      <c r="S599" s="16">
        <v>20183</v>
      </c>
      <c r="U599" s="16">
        <v>0</v>
      </c>
      <c r="W599" s="16">
        <v>0</v>
      </c>
      <c r="Y599" s="16">
        <v>0</v>
      </c>
      <c r="AA599" s="16">
        <v>0</v>
      </c>
      <c r="AC599" s="16">
        <v>0</v>
      </c>
      <c r="AE599" s="32">
        <f t="shared" si="9"/>
        <v>581315</v>
      </c>
    </row>
    <row r="600" spans="1:31" ht="12.75" customHeight="1">
      <c r="A600" s="1" t="s">
        <v>402</v>
      </c>
      <c r="C600" s="1" t="s">
        <v>231</v>
      </c>
      <c r="D600" s="16"/>
      <c r="E600" s="16">
        <v>73606</v>
      </c>
      <c r="G600" s="16">
        <v>192141</v>
      </c>
      <c r="I600" s="16">
        <v>64798</v>
      </c>
      <c r="K600" s="16">
        <v>0</v>
      </c>
      <c r="M600" s="16">
        <v>0</v>
      </c>
      <c r="O600" s="16">
        <v>34998</v>
      </c>
      <c r="Q600" s="16">
        <v>25684</v>
      </c>
      <c r="S600" s="16">
        <v>24147</v>
      </c>
      <c r="U600" s="16">
        <v>0</v>
      </c>
      <c r="W600" s="16">
        <v>0</v>
      </c>
      <c r="Y600" s="16">
        <v>0</v>
      </c>
      <c r="AA600" s="16">
        <v>0</v>
      </c>
      <c r="AC600" s="16">
        <v>0</v>
      </c>
      <c r="AE600" s="32">
        <f t="shared" si="9"/>
        <v>415374</v>
      </c>
    </row>
    <row r="601" spans="1:31" ht="12.75" customHeight="1">
      <c r="A601" s="1" t="s">
        <v>403</v>
      </c>
      <c r="C601" s="1" t="s">
        <v>369</v>
      </c>
      <c r="D601" s="16"/>
      <c r="E601" s="16">
        <v>5714</v>
      </c>
      <c r="G601" s="16">
        <v>31536</v>
      </c>
      <c r="I601" s="16">
        <v>995</v>
      </c>
      <c r="K601" s="16">
        <v>0</v>
      </c>
      <c r="M601" s="16">
        <v>0</v>
      </c>
      <c r="O601" s="16">
        <v>950</v>
      </c>
      <c r="Q601" s="16">
        <v>634</v>
      </c>
      <c r="S601" s="16">
        <v>0</v>
      </c>
      <c r="U601" s="16">
        <v>0</v>
      </c>
      <c r="W601" s="16">
        <v>0</v>
      </c>
      <c r="Y601" s="16">
        <v>0</v>
      </c>
      <c r="AA601" s="16">
        <v>0</v>
      </c>
      <c r="AC601" s="16">
        <v>243</v>
      </c>
      <c r="AE601" s="32">
        <f t="shared" si="9"/>
        <v>40072</v>
      </c>
    </row>
    <row r="602" spans="1:31" ht="12.75" customHeight="1">
      <c r="A602" s="1" t="s">
        <v>404</v>
      </c>
      <c r="C602" s="1" t="s">
        <v>112</v>
      </c>
      <c r="D602" s="16"/>
      <c r="E602" s="16">
        <v>1027073</v>
      </c>
      <c r="G602" s="16">
        <v>8531367</v>
      </c>
      <c r="I602" s="16">
        <v>640508</v>
      </c>
      <c r="K602" s="16">
        <v>0</v>
      </c>
      <c r="M602" s="16">
        <v>129403</v>
      </c>
      <c r="O602" s="16">
        <v>143612</v>
      </c>
      <c r="Q602" s="16">
        <v>72919</v>
      </c>
      <c r="S602" s="16">
        <v>33580</v>
      </c>
      <c r="U602" s="16">
        <v>0</v>
      </c>
      <c r="W602" s="16">
        <v>0</v>
      </c>
      <c r="Y602" s="16">
        <v>133</v>
      </c>
      <c r="AA602" s="16">
        <v>0</v>
      </c>
      <c r="AC602" s="16">
        <v>0</v>
      </c>
      <c r="AE602" s="32">
        <f t="shared" si="9"/>
        <v>10578595</v>
      </c>
    </row>
    <row r="603" spans="1:31" ht="12.75" customHeight="1">
      <c r="A603" s="1" t="s">
        <v>548</v>
      </c>
      <c r="C603" s="1" t="s">
        <v>149</v>
      </c>
      <c r="E603" s="16">
        <v>79883</v>
      </c>
      <c r="G603" s="16">
        <v>0</v>
      </c>
      <c r="I603" s="16">
        <v>83069</v>
      </c>
      <c r="K603" s="16">
        <v>0</v>
      </c>
      <c r="M603" s="16">
        <v>0</v>
      </c>
      <c r="O603" s="16">
        <v>30273</v>
      </c>
      <c r="Q603" s="16">
        <v>47</v>
      </c>
      <c r="S603" s="16">
        <v>6281</v>
      </c>
      <c r="U603" s="16">
        <v>0</v>
      </c>
      <c r="W603" s="16">
        <v>0</v>
      </c>
      <c r="Y603" s="16">
        <v>0</v>
      </c>
      <c r="AA603" s="16">
        <v>0</v>
      </c>
      <c r="AC603" s="16">
        <v>0</v>
      </c>
      <c r="AE603" s="32">
        <f t="shared" si="9"/>
        <v>199553</v>
      </c>
    </row>
    <row r="604" spans="1:31" ht="12.75" customHeight="1">
      <c r="A604" s="1" t="s">
        <v>405</v>
      </c>
      <c r="C604" s="1" t="s">
        <v>114</v>
      </c>
      <c r="D604" s="16"/>
      <c r="E604" s="16">
        <v>16280</v>
      </c>
      <c r="G604" s="16">
        <v>0</v>
      </c>
      <c r="I604" s="16">
        <v>48896</v>
      </c>
      <c r="K604" s="16">
        <v>0</v>
      </c>
      <c r="M604" s="16">
        <v>0</v>
      </c>
      <c r="O604" s="16">
        <v>2380</v>
      </c>
      <c r="Q604" s="16">
        <v>1593</v>
      </c>
      <c r="S604" s="16">
        <v>9242</v>
      </c>
      <c r="U604" s="16">
        <v>0</v>
      </c>
      <c r="W604" s="16">
        <v>0</v>
      </c>
      <c r="Y604" s="16">
        <v>0</v>
      </c>
      <c r="AA604" s="16">
        <v>0</v>
      </c>
      <c r="AC604" s="16">
        <v>0</v>
      </c>
      <c r="AE604" s="32">
        <f t="shared" si="9"/>
        <v>78391</v>
      </c>
    </row>
    <row r="605" spans="1:31" ht="12.75" customHeight="1">
      <c r="A605" s="1" t="s">
        <v>574</v>
      </c>
      <c r="C605" s="1" t="s">
        <v>114</v>
      </c>
      <c r="E605" s="16">
        <v>4574</v>
      </c>
      <c r="G605" s="16">
        <v>0</v>
      </c>
      <c r="I605" s="16">
        <v>52683</v>
      </c>
      <c r="K605" s="16">
        <v>0</v>
      </c>
      <c r="M605" s="16">
        <v>0</v>
      </c>
      <c r="O605" s="16">
        <v>600</v>
      </c>
      <c r="Q605" s="16">
        <v>1761</v>
      </c>
      <c r="S605" s="16">
        <v>6985</v>
      </c>
      <c r="U605" s="16">
        <v>0</v>
      </c>
      <c r="W605" s="16">
        <v>0</v>
      </c>
      <c r="Y605" s="16">
        <v>0</v>
      </c>
      <c r="AA605" s="16">
        <v>0</v>
      </c>
      <c r="AC605" s="16">
        <v>0</v>
      </c>
      <c r="AE605" s="32">
        <f t="shared" si="9"/>
        <v>66603</v>
      </c>
    </row>
    <row r="606" spans="1:31" ht="12.75" customHeight="1">
      <c r="A606" s="1" t="s">
        <v>750</v>
      </c>
      <c r="C606" s="1" t="s">
        <v>192</v>
      </c>
      <c r="E606" s="16">
        <v>1908</v>
      </c>
      <c r="G606" s="16">
        <v>0</v>
      </c>
      <c r="I606" s="16">
        <v>18300</v>
      </c>
      <c r="K606" s="16">
        <v>0</v>
      </c>
      <c r="M606" s="16">
        <v>0</v>
      </c>
      <c r="O606" s="16">
        <v>0</v>
      </c>
      <c r="Q606" s="16">
        <v>186</v>
      </c>
      <c r="S606" s="16">
        <v>0</v>
      </c>
      <c r="U606" s="16">
        <v>0</v>
      </c>
      <c r="W606" s="16">
        <v>0</v>
      </c>
      <c r="Y606" s="16">
        <v>0</v>
      </c>
      <c r="AA606" s="16">
        <v>0</v>
      </c>
      <c r="AC606" s="16">
        <v>0</v>
      </c>
      <c r="AE606" s="32">
        <f t="shared" si="9"/>
        <v>20394</v>
      </c>
    </row>
    <row r="607" spans="1:31" ht="12.75" customHeight="1">
      <c r="A607" s="1" t="s">
        <v>406</v>
      </c>
      <c r="C607" s="1" t="s">
        <v>225</v>
      </c>
      <c r="D607" s="16"/>
      <c r="E607" s="16">
        <f>59288+189</f>
        <v>59477</v>
      </c>
      <c r="G607" s="16">
        <v>0</v>
      </c>
      <c r="I607" s="16">
        <v>23752</v>
      </c>
      <c r="K607" s="16">
        <v>0</v>
      </c>
      <c r="M607" s="16">
        <v>1167</v>
      </c>
      <c r="O607" s="16">
        <v>2382</v>
      </c>
      <c r="Q607" s="16">
        <v>6579</v>
      </c>
      <c r="S607" s="16">
        <v>1524</v>
      </c>
      <c r="U607" s="16">
        <v>0</v>
      </c>
      <c r="W607" s="16">
        <v>0</v>
      </c>
      <c r="Y607" s="16">
        <v>0</v>
      </c>
      <c r="AA607" s="16">
        <v>0</v>
      </c>
      <c r="AC607" s="16">
        <v>0</v>
      </c>
      <c r="AE607" s="32">
        <f t="shared" si="9"/>
        <v>94881</v>
      </c>
    </row>
    <row r="608" spans="1:31" ht="12.75" customHeight="1">
      <c r="A608" s="1" t="s">
        <v>407</v>
      </c>
      <c r="C608" s="1" t="s">
        <v>78</v>
      </c>
      <c r="D608" s="16"/>
      <c r="E608" s="16">
        <v>77645</v>
      </c>
      <c r="G608" s="16">
        <v>1543097</v>
      </c>
      <c r="I608" s="16">
        <v>482840</v>
      </c>
      <c r="K608" s="16">
        <v>0</v>
      </c>
      <c r="M608" s="16">
        <v>202239</v>
      </c>
      <c r="O608" s="16">
        <v>6028</v>
      </c>
      <c r="Q608" s="16">
        <v>30548</v>
      </c>
      <c r="S608" s="16">
        <v>9184</v>
      </c>
      <c r="U608" s="16">
        <v>0</v>
      </c>
      <c r="W608" s="16">
        <v>0</v>
      </c>
      <c r="Y608" s="16">
        <v>0</v>
      </c>
      <c r="AA608" s="16">
        <v>0</v>
      </c>
      <c r="AC608" s="16">
        <v>0</v>
      </c>
      <c r="AE608" s="32">
        <f t="shared" si="9"/>
        <v>2351581</v>
      </c>
    </row>
    <row r="609" spans="1:31" ht="12.75" customHeight="1">
      <c r="A609" s="1" t="s">
        <v>236</v>
      </c>
      <c r="C609" s="1" t="s">
        <v>210</v>
      </c>
      <c r="E609" s="16">
        <v>18291</v>
      </c>
      <c r="G609" s="16">
        <v>0</v>
      </c>
      <c r="I609" s="16">
        <v>72069</v>
      </c>
      <c r="K609" s="16">
        <v>2220</v>
      </c>
      <c r="M609" s="16">
        <v>20234</v>
      </c>
      <c r="O609" s="16">
        <v>286</v>
      </c>
      <c r="Q609" s="16">
        <v>89</v>
      </c>
      <c r="S609" s="16">
        <v>605</v>
      </c>
      <c r="U609" s="16">
        <v>0</v>
      </c>
      <c r="W609" s="16">
        <v>0</v>
      </c>
      <c r="Y609" s="16">
        <v>0</v>
      </c>
      <c r="AA609" s="16">
        <v>0</v>
      </c>
      <c r="AC609" s="16">
        <v>0</v>
      </c>
      <c r="AE609" s="32">
        <f t="shared" si="9"/>
        <v>113794</v>
      </c>
    </row>
    <row r="610" spans="1:31" ht="12.75" customHeight="1">
      <c r="A610" s="1" t="s">
        <v>408</v>
      </c>
      <c r="C610" s="1" t="s">
        <v>197</v>
      </c>
      <c r="D610" s="16"/>
      <c r="E610" s="16">
        <v>447049</v>
      </c>
      <c r="G610" s="16">
        <v>0</v>
      </c>
      <c r="I610" s="16">
        <v>310908</v>
      </c>
      <c r="K610" s="16">
        <v>0</v>
      </c>
      <c r="M610" s="16">
        <v>0</v>
      </c>
      <c r="O610" s="16">
        <v>8312</v>
      </c>
      <c r="Q610" s="16">
        <v>434802</v>
      </c>
      <c r="S610" s="16">
        <v>16840</v>
      </c>
      <c r="U610" s="16">
        <v>0</v>
      </c>
      <c r="W610" s="16">
        <v>0</v>
      </c>
      <c r="Y610" s="16">
        <v>0</v>
      </c>
      <c r="AA610" s="16">
        <v>0</v>
      </c>
      <c r="AC610" s="16">
        <v>0</v>
      </c>
      <c r="AE610" s="32">
        <f t="shared" si="9"/>
        <v>1217911</v>
      </c>
    </row>
    <row r="611" spans="1:31" ht="12.75" customHeight="1">
      <c r="A611" s="1" t="s">
        <v>776</v>
      </c>
      <c r="C611" s="1" t="s">
        <v>94</v>
      </c>
      <c r="E611" s="16">
        <v>81247</v>
      </c>
      <c r="G611" s="16">
        <v>591698</v>
      </c>
      <c r="I611" s="16">
        <v>162127</v>
      </c>
      <c r="K611" s="16">
        <v>2939</v>
      </c>
      <c r="M611" s="16">
        <v>24348</v>
      </c>
      <c r="O611" s="16">
        <v>37658</v>
      </c>
      <c r="Q611" s="16">
        <v>5891</v>
      </c>
      <c r="S611" s="16">
        <v>34892</v>
      </c>
      <c r="U611" s="16">
        <v>0</v>
      </c>
      <c r="W611" s="16">
        <v>100</v>
      </c>
      <c r="Y611" s="16">
        <v>0</v>
      </c>
      <c r="AA611" s="16">
        <v>0</v>
      </c>
      <c r="AC611" s="16">
        <v>0</v>
      </c>
      <c r="AE611" s="32">
        <f t="shared" si="9"/>
        <v>940900</v>
      </c>
    </row>
    <row r="612" spans="1:31" ht="12.75" customHeight="1">
      <c r="A612" s="1" t="s">
        <v>640</v>
      </c>
      <c r="C612" s="1" t="s">
        <v>268</v>
      </c>
      <c r="E612" s="16">
        <v>35973</v>
      </c>
      <c r="G612" s="16">
        <v>0</v>
      </c>
      <c r="I612" s="16">
        <v>17729</v>
      </c>
      <c r="K612" s="16">
        <v>0</v>
      </c>
      <c r="M612" s="16">
        <v>0</v>
      </c>
      <c r="O612" s="16">
        <v>152</v>
      </c>
      <c r="Q612" s="16">
        <v>412</v>
      </c>
      <c r="S612" s="16">
        <v>6857</v>
      </c>
      <c r="U612" s="16">
        <v>0</v>
      </c>
      <c r="W612" s="16">
        <v>0</v>
      </c>
      <c r="Y612" s="16">
        <v>0</v>
      </c>
      <c r="AA612" s="16">
        <v>0</v>
      </c>
      <c r="AC612" s="16">
        <v>0</v>
      </c>
      <c r="AE612" s="32">
        <f t="shared" si="9"/>
        <v>61123</v>
      </c>
    </row>
    <row r="613" spans="1:31" ht="12.75" customHeight="1">
      <c r="A613" s="1" t="s">
        <v>519</v>
      </c>
      <c r="C613" s="1" t="s">
        <v>112</v>
      </c>
      <c r="E613" s="16">
        <v>15439</v>
      </c>
      <c r="G613" s="16">
        <v>4153853</v>
      </c>
      <c r="I613" s="16">
        <v>272852</v>
      </c>
      <c r="K613" s="16">
        <v>0</v>
      </c>
      <c r="M613" s="16">
        <v>43025</v>
      </c>
      <c r="O613" s="16">
        <v>195079</v>
      </c>
      <c r="Q613" s="16">
        <v>124938</v>
      </c>
      <c r="S613" s="16">
        <v>29508</v>
      </c>
      <c r="U613" s="16">
        <v>0</v>
      </c>
      <c r="W613" s="16">
        <v>20235</v>
      </c>
      <c r="Y613" s="16">
        <v>9000</v>
      </c>
      <c r="AA613" s="16">
        <v>35000</v>
      </c>
      <c r="AC613" s="16">
        <v>0</v>
      </c>
      <c r="AE613" s="32">
        <f t="shared" si="9"/>
        <v>4898929</v>
      </c>
    </row>
    <row r="614" spans="1:31" ht="12.75" customHeight="1">
      <c r="A614" s="1" t="s">
        <v>512</v>
      </c>
      <c r="C614" s="1" t="s">
        <v>170</v>
      </c>
      <c r="E614" s="16">
        <v>45913</v>
      </c>
      <c r="G614" s="16">
        <v>0</v>
      </c>
      <c r="I614" s="16">
        <v>40363</v>
      </c>
      <c r="K614" s="16">
        <v>0</v>
      </c>
      <c r="M614" s="16">
        <v>56470</v>
      </c>
      <c r="O614" s="16">
        <v>1066</v>
      </c>
      <c r="Q614" s="16">
        <v>499</v>
      </c>
      <c r="S614" s="16">
        <v>500</v>
      </c>
      <c r="U614" s="16">
        <v>0</v>
      </c>
      <c r="W614" s="16">
        <v>0</v>
      </c>
      <c r="Y614" s="16">
        <v>0</v>
      </c>
      <c r="AA614" s="16">
        <v>0</v>
      </c>
      <c r="AC614" s="16">
        <v>2540</v>
      </c>
      <c r="AE614" s="32">
        <f t="shared" si="9"/>
        <v>147351</v>
      </c>
    </row>
    <row r="615" spans="1:31" ht="12.75" customHeight="1">
      <c r="A615" s="1" t="s">
        <v>511</v>
      </c>
      <c r="C615" s="1" t="s">
        <v>414</v>
      </c>
      <c r="E615" s="16">
        <v>14652</v>
      </c>
      <c r="G615" s="16">
        <v>0</v>
      </c>
      <c r="I615" s="16">
        <v>31312</v>
      </c>
      <c r="K615" s="16">
        <v>583</v>
      </c>
      <c r="M615" s="16">
        <v>0</v>
      </c>
      <c r="O615" s="16">
        <v>28663</v>
      </c>
      <c r="Q615" s="16">
        <v>530</v>
      </c>
      <c r="S615" s="16">
        <v>140</v>
      </c>
      <c r="U615" s="16">
        <v>0</v>
      </c>
      <c r="W615" s="16">
        <v>0</v>
      </c>
      <c r="Y615" s="16">
        <v>0</v>
      </c>
      <c r="AA615" s="16">
        <v>0</v>
      </c>
      <c r="AC615" s="16">
        <v>0</v>
      </c>
      <c r="AE615" s="32">
        <f t="shared" si="9"/>
        <v>75880</v>
      </c>
    </row>
    <row r="616" spans="1:31" ht="12.75" customHeight="1">
      <c r="A616" s="1" t="s">
        <v>409</v>
      </c>
      <c r="C616" s="1" t="s">
        <v>250</v>
      </c>
      <c r="D616" s="16"/>
      <c r="E616" s="16">
        <v>1883175</v>
      </c>
      <c r="G616" s="16">
        <v>0</v>
      </c>
      <c r="I616" s="16">
        <v>666531</v>
      </c>
      <c r="K616" s="16">
        <v>7274</v>
      </c>
      <c r="M616" s="16">
        <v>80690</v>
      </c>
      <c r="O616" s="16">
        <v>30864</v>
      </c>
      <c r="Q616" s="16">
        <v>0</v>
      </c>
      <c r="S616" s="16">
        <v>60478</v>
      </c>
      <c r="U616" s="16">
        <v>0</v>
      </c>
      <c r="W616" s="16">
        <v>0</v>
      </c>
      <c r="Y616" s="16">
        <v>0</v>
      </c>
      <c r="AA616" s="16">
        <v>0</v>
      </c>
      <c r="AC616" s="16">
        <v>0</v>
      </c>
      <c r="AE616" s="32">
        <f t="shared" si="9"/>
        <v>2729012</v>
      </c>
    </row>
    <row r="617" spans="1:31" ht="12.75" customHeight="1">
      <c r="A617" s="1" t="s">
        <v>410</v>
      </c>
      <c r="C617" s="1" t="s">
        <v>78</v>
      </c>
      <c r="D617" s="16"/>
      <c r="E617" s="16">
        <v>59798</v>
      </c>
      <c r="G617" s="16">
        <v>0</v>
      </c>
      <c r="I617" s="16">
        <v>14125</v>
      </c>
      <c r="K617" s="16">
        <v>0</v>
      </c>
      <c r="M617" s="16">
        <v>18858</v>
      </c>
      <c r="O617" s="16">
        <v>9749</v>
      </c>
      <c r="Q617" s="16">
        <v>165</v>
      </c>
      <c r="S617" s="16">
        <v>1133</v>
      </c>
      <c r="U617" s="16">
        <v>0</v>
      </c>
      <c r="W617" s="16">
        <v>1100</v>
      </c>
      <c r="Y617" s="16">
        <v>0</v>
      </c>
      <c r="AA617" s="16">
        <v>0</v>
      </c>
      <c r="AC617" s="16">
        <v>0</v>
      </c>
      <c r="AE617" s="32">
        <f t="shared" si="9"/>
        <v>104928</v>
      </c>
    </row>
    <row r="618" spans="1:31" ht="12.75" customHeight="1">
      <c r="A618" s="1" t="s">
        <v>411</v>
      </c>
      <c r="C618" s="1" t="s">
        <v>106</v>
      </c>
      <c r="D618" s="16"/>
      <c r="E618" s="16">
        <v>43079</v>
      </c>
      <c r="G618" s="16">
        <v>0</v>
      </c>
      <c r="I618" s="16">
        <v>28737</v>
      </c>
      <c r="K618" s="16">
        <v>0</v>
      </c>
      <c r="M618" s="16">
        <v>0</v>
      </c>
      <c r="O618" s="16">
        <v>429</v>
      </c>
      <c r="Q618" s="16">
        <v>5536</v>
      </c>
      <c r="S618" s="16">
        <v>12566</v>
      </c>
      <c r="U618" s="16">
        <v>0</v>
      </c>
      <c r="W618" s="16">
        <v>0</v>
      </c>
      <c r="Y618" s="16">
        <v>0</v>
      </c>
      <c r="AA618" s="16">
        <v>0</v>
      </c>
      <c r="AC618" s="16">
        <v>0</v>
      </c>
      <c r="AE618" s="32">
        <f t="shared" si="9"/>
        <v>90347</v>
      </c>
    </row>
    <row r="619" spans="1:31" ht="12.75" customHeight="1">
      <c r="A619" s="1" t="s">
        <v>464</v>
      </c>
      <c r="C619" s="1" t="s">
        <v>177</v>
      </c>
      <c r="E619" s="16">
        <v>41849</v>
      </c>
      <c r="G619" s="16">
        <v>0</v>
      </c>
      <c r="I619" s="16">
        <v>76802</v>
      </c>
      <c r="K619" s="16">
        <v>161</v>
      </c>
      <c r="M619" s="16">
        <v>325</v>
      </c>
      <c r="O619" s="16">
        <v>98</v>
      </c>
      <c r="Q619" s="16">
        <v>3730</v>
      </c>
      <c r="S619" s="16">
        <v>15213</v>
      </c>
      <c r="U619" s="16">
        <v>0</v>
      </c>
      <c r="W619" s="16">
        <v>0</v>
      </c>
      <c r="Y619" s="16">
        <v>35</v>
      </c>
      <c r="AA619" s="16">
        <v>0</v>
      </c>
      <c r="AC619" s="16">
        <v>0</v>
      </c>
      <c r="AE619" s="32">
        <f t="shared" si="9"/>
        <v>138213</v>
      </c>
    </row>
    <row r="620" spans="1:31" ht="12.75" customHeight="1">
      <c r="A620" s="1" t="s">
        <v>412</v>
      </c>
      <c r="C620" s="1" t="s">
        <v>228</v>
      </c>
      <c r="D620" s="16"/>
      <c r="E620" s="16">
        <f>323059+19071</f>
        <v>342130</v>
      </c>
      <c r="G620" s="16">
        <v>975604</v>
      </c>
      <c r="I620" s="16">
        <v>469764</v>
      </c>
      <c r="K620" s="16">
        <v>0</v>
      </c>
      <c r="M620" s="16">
        <v>55660</v>
      </c>
      <c r="O620" s="16">
        <v>75480</v>
      </c>
      <c r="Q620" s="16">
        <v>18982</v>
      </c>
      <c r="S620" s="16">
        <v>253975</v>
      </c>
      <c r="U620" s="16">
        <v>0</v>
      </c>
      <c r="W620" s="16">
        <v>155164</v>
      </c>
      <c r="Y620" s="16">
        <v>0</v>
      </c>
      <c r="AA620" s="16">
        <v>240000</v>
      </c>
      <c r="AC620" s="16">
        <v>0</v>
      </c>
      <c r="AE620" s="32">
        <f t="shared" si="9"/>
        <v>2586759</v>
      </c>
    </row>
    <row r="621" spans="1:31" ht="12.75" customHeight="1">
      <c r="A621" s="1" t="s">
        <v>413</v>
      </c>
      <c r="C621" s="1" t="s">
        <v>414</v>
      </c>
      <c r="D621" s="16"/>
      <c r="E621" s="16">
        <v>91526</v>
      </c>
      <c r="G621" s="16">
        <v>414871</v>
      </c>
      <c r="I621" s="16">
        <v>140633</v>
      </c>
      <c r="K621" s="16">
        <v>0</v>
      </c>
      <c r="M621" s="16">
        <v>550</v>
      </c>
      <c r="O621" s="16">
        <v>82153</v>
      </c>
      <c r="Q621" s="16">
        <v>13152</v>
      </c>
      <c r="S621" s="16">
        <v>65624</v>
      </c>
      <c r="U621" s="16">
        <v>0</v>
      </c>
      <c r="W621" s="16">
        <v>0</v>
      </c>
      <c r="Y621" s="16">
        <v>50674</v>
      </c>
      <c r="AA621" s="16">
        <v>0</v>
      </c>
      <c r="AC621" s="16">
        <v>129033</v>
      </c>
      <c r="AE621" s="32">
        <f t="shared" si="9"/>
        <v>988216</v>
      </c>
    </row>
    <row r="622" spans="1:31" ht="12.75" customHeight="1">
      <c r="A622" s="1" t="s">
        <v>413</v>
      </c>
      <c r="C622" s="1" t="s">
        <v>414</v>
      </c>
      <c r="E622" s="16">
        <v>91526</v>
      </c>
      <c r="G622" s="16">
        <v>414871</v>
      </c>
      <c r="I622" s="16">
        <v>140633</v>
      </c>
      <c r="K622" s="16">
        <v>0</v>
      </c>
      <c r="M622" s="16">
        <v>550</v>
      </c>
      <c r="O622" s="16">
        <v>78582</v>
      </c>
      <c r="Q622" s="16">
        <v>13152</v>
      </c>
      <c r="S622" s="16">
        <v>194657</v>
      </c>
      <c r="U622" s="16">
        <v>0</v>
      </c>
      <c r="W622" s="16">
        <v>0</v>
      </c>
      <c r="Y622" s="16">
        <v>50674</v>
      </c>
      <c r="AA622" s="16">
        <v>27196</v>
      </c>
      <c r="AC622" s="16">
        <v>0</v>
      </c>
      <c r="AE622" s="32">
        <f t="shared" si="9"/>
        <v>1011841</v>
      </c>
    </row>
    <row r="623" spans="1:31" ht="12.75" customHeight="1">
      <c r="A623" s="1" t="s">
        <v>415</v>
      </c>
      <c r="C623" s="1" t="s">
        <v>225</v>
      </c>
      <c r="D623" s="16"/>
      <c r="E623" s="16">
        <v>95137</v>
      </c>
      <c r="G623" s="16">
        <v>126000</v>
      </c>
      <c r="I623" s="16">
        <v>113306</v>
      </c>
      <c r="K623" s="16">
        <v>0</v>
      </c>
      <c r="M623" s="16">
        <v>0</v>
      </c>
      <c r="O623" s="16">
        <v>6337</v>
      </c>
      <c r="Q623" s="16">
        <v>5245</v>
      </c>
      <c r="S623" s="16">
        <v>5989</v>
      </c>
      <c r="U623" s="16">
        <v>0</v>
      </c>
      <c r="W623" s="16">
        <v>0</v>
      </c>
      <c r="Y623" s="16">
        <v>0</v>
      </c>
      <c r="AA623" s="16">
        <v>0</v>
      </c>
      <c r="AC623" s="16">
        <v>0</v>
      </c>
      <c r="AE623" s="32">
        <f t="shared" si="9"/>
        <v>352014</v>
      </c>
    </row>
    <row r="624" spans="1:31" ht="12.75" customHeight="1">
      <c r="A624" s="1" t="s">
        <v>700</v>
      </c>
      <c r="C624" s="1" t="s">
        <v>225</v>
      </c>
      <c r="E624" s="16">
        <v>4935</v>
      </c>
      <c r="G624" s="16">
        <v>0</v>
      </c>
      <c r="I624" s="16">
        <v>23540</v>
      </c>
      <c r="K624" s="16">
        <v>0</v>
      </c>
      <c r="M624" s="16">
        <v>0</v>
      </c>
      <c r="O624" s="16">
        <v>13353</v>
      </c>
      <c r="Q624" s="16">
        <v>26</v>
      </c>
      <c r="S624" s="16">
        <v>2165</v>
      </c>
      <c r="U624" s="16">
        <v>0</v>
      </c>
      <c r="W624" s="16">
        <v>0</v>
      </c>
      <c r="Y624" s="16">
        <v>0</v>
      </c>
      <c r="AA624" s="16">
        <v>0</v>
      </c>
      <c r="AC624" s="16">
        <v>0</v>
      </c>
      <c r="AE624" s="32">
        <f t="shared" si="9"/>
        <v>44019</v>
      </c>
    </row>
    <row r="625" spans="1:31" ht="12.75" customHeight="1">
      <c r="A625" s="1" t="s">
        <v>736</v>
      </c>
      <c r="C625" s="1" t="s">
        <v>276</v>
      </c>
      <c r="E625" s="16">
        <v>30223</v>
      </c>
      <c r="G625" s="16">
        <v>0</v>
      </c>
      <c r="I625" s="16">
        <v>19134</v>
      </c>
      <c r="K625" s="16">
        <v>0</v>
      </c>
      <c r="M625" s="16">
        <v>0</v>
      </c>
      <c r="O625" s="16">
        <v>6600</v>
      </c>
      <c r="Q625" s="16">
        <v>275</v>
      </c>
      <c r="S625" s="16">
        <v>1183</v>
      </c>
      <c r="U625" s="16">
        <v>0</v>
      </c>
      <c r="W625" s="16">
        <v>0</v>
      </c>
      <c r="Y625" s="16">
        <v>0</v>
      </c>
      <c r="AA625" s="16">
        <v>3735</v>
      </c>
      <c r="AC625" s="16">
        <v>0</v>
      </c>
      <c r="AE625" s="32">
        <f t="shared" si="9"/>
        <v>61150</v>
      </c>
    </row>
    <row r="626" spans="1:31" ht="12.75" customHeight="1">
      <c r="A626" s="1" t="s">
        <v>416</v>
      </c>
      <c r="C626" s="1" t="s">
        <v>293</v>
      </c>
      <c r="D626" s="16"/>
      <c r="E626" s="16">
        <v>70086</v>
      </c>
      <c r="G626" s="16">
        <v>701450</v>
      </c>
      <c r="I626" s="16">
        <v>151304</v>
      </c>
      <c r="K626" s="16">
        <v>17489</v>
      </c>
      <c r="M626" s="16">
        <v>138133</v>
      </c>
      <c r="O626" s="16">
        <v>30312</v>
      </c>
      <c r="Q626" s="16">
        <v>10916</v>
      </c>
      <c r="S626" s="16">
        <v>9751</v>
      </c>
      <c r="U626" s="16">
        <v>0</v>
      </c>
      <c r="W626" s="16">
        <v>0</v>
      </c>
      <c r="Y626" s="16">
        <v>0</v>
      </c>
      <c r="AA626" s="16">
        <v>0</v>
      </c>
      <c r="AC626" s="16">
        <v>0</v>
      </c>
      <c r="AE626" s="32">
        <f t="shared" si="9"/>
        <v>1129441</v>
      </c>
    </row>
    <row r="627" spans="1:31" ht="12.75" customHeight="1">
      <c r="A627" s="1" t="s">
        <v>417</v>
      </c>
      <c r="C627" s="1" t="s">
        <v>170</v>
      </c>
      <c r="D627" s="16"/>
      <c r="E627" s="16">
        <v>53649</v>
      </c>
      <c r="G627" s="16">
        <v>251044</v>
      </c>
      <c r="I627" s="16">
        <v>77982</v>
      </c>
      <c r="K627" s="16">
        <v>0</v>
      </c>
      <c r="M627" s="16">
        <v>26694</v>
      </c>
      <c r="O627" s="16">
        <v>7341</v>
      </c>
      <c r="Q627" s="16">
        <v>4386</v>
      </c>
      <c r="S627" s="16">
        <v>25637</v>
      </c>
      <c r="U627" s="16">
        <v>0</v>
      </c>
      <c r="W627" s="16">
        <v>0</v>
      </c>
      <c r="Y627" s="16">
        <v>0</v>
      </c>
      <c r="AA627" s="16">
        <v>0</v>
      </c>
      <c r="AC627" s="16">
        <v>0</v>
      </c>
      <c r="AE627" s="32">
        <f t="shared" si="9"/>
        <v>446733</v>
      </c>
    </row>
    <row r="628" spans="1:31" ht="12.75" customHeight="1">
      <c r="A628" s="1" t="s">
        <v>418</v>
      </c>
      <c r="C628" s="1" t="s">
        <v>110</v>
      </c>
      <c r="D628" s="16"/>
      <c r="E628" s="16">
        <v>2867</v>
      </c>
      <c r="G628" s="16">
        <v>0</v>
      </c>
      <c r="I628" s="16">
        <v>38652</v>
      </c>
      <c r="K628" s="16">
        <v>0</v>
      </c>
      <c r="M628" s="16">
        <v>0</v>
      </c>
      <c r="O628" s="16">
        <v>0</v>
      </c>
      <c r="Q628" s="16">
        <v>10968</v>
      </c>
      <c r="S628" s="16">
        <v>1835</v>
      </c>
      <c r="U628" s="16">
        <v>0</v>
      </c>
      <c r="W628" s="16">
        <v>0</v>
      </c>
      <c r="Y628" s="16">
        <v>0</v>
      </c>
      <c r="AA628" s="16">
        <v>0</v>
      </c>
      <c r="AC628" s="16">
        <v>0</v>
      </c>
      <c r="AE628" s="32">
        <f t="shared" si="9"/>
        <v>54322</v>
      </c>
    </row>
    <row r="629" spans="1:31" ht="12.75" customHeight="1">
      <c r="A629" s="1" t="s">
        <v>622</v>
      </c>
      <c r="C629" s="1" t="s">
        <v>369</v>
      </c>
      <c r="E629" s="16">
        <v>255738</v>
      </c>
      <c r="G629" s="16">
        <v>0</v>
      </c>
      <c r="I629" s="16">
        <v>162442</v>
      </c>
      <c r="K629" s="16">
        <v>3525</v>
      </c>
      <c r="M629" s="16">
        <v>65600</v>
      </c>
      <c r="O629" s="16">
        <v>12344</v>
      </c>
      <c r="Q629" s="16">
        <v>12591</v>
      </c>
      <c r="S629" s="16">
        <v>36036</v>
      </c>
      <c r="U629" s="16">
        <v>0</v>
      </c>
      <c r="W629" s="16">
        <v>0</v>
      </c>
      <c r="Y629" s="16">
        <v>0</v>
      </c>
      <c r="AA629" s="16">
        <v>2078</v>
      </c>
      <c r="AC629" s="16">
        <v>0</v>
      </c>
      <c r="AE629" s="32">
        <f t="shared" si="9"/>
        <v>550354</v>
      </c>
    </row>
    <row r="630" spans="1:31" ht="12.75" customHeight="1">
      <c r="A630" s="1" t="s">
        <v>419</v>
      </c>
      <c r="C630" s="1" t="s">
        <v>225</v>
      </c>
      <c r="D630" s="16"/>
      <c r="E630" s="16">
        <v>11255</v>
      </c>
      <c r="G630" s="16">
        <v>0</v>
      </c>
      <c r="I630" s="16">
        <v>37550</v>
      </c>
      <c r="K630" s="16">
        <v>0</v>
      </c>
      <c r="M630" s="16">
        <v>19708</v>
      </c>
      <c r="O630" s="16">
        <v>1543</v>
      </c>
      <c r="Q630" s="16">
        <v>4618</v>
      </c>
      <c r="S630" s="16">
        <v>1058</v>
      </c>
      <c r="U630" s="16">
        <v>60000</v>
      </c>
      <c r="W630" s="16">
        <v>0</v>
      </c>
      <c r="Y630" s="16">
        <v>0</v>
      </c>
      <c r="AA630" s="16">
        <v>0</v>
      </c>
      <c r="AC630" s="16">
        <v>0</v>
      </c>
      <c r="AE630" s="32">
        <f t="shared" si="9"/>
        <v>135732</v>
      </c>
    </row>
    <row r="631" spans="1:31" ht="12.75" customHeight="1">
      <c r="A631" s="1" t="s">
        <v>777</v>
      </c>
      <c r="C631" s="1" t="s">
        <v>94</v>
      </c>
      <c r="E631" s="16">
        <v>11468</v>
      </c>
      <c r="G631" s="16">
        <v>0</v>
      </c>
      <c r="I631" s="16">
        <v>8466</v>
      </c>
      <c r="K631" s="16">
        <v>0</v>
      </c>
      <c r="M631" s="16">
        <v>0</v>
      </c>
      <c r="O631" s="16">
        <v>66948</v>
      </c>
      <c r="Q631" s="16">
        <v>0</v>
      </c>
      <c r="S631" s="16">
        <v>0</v>
      </c>
      <c r="U631" s="16">
        <v>0</v>
      </c>
      <c r="W631" s="16">
        <v>0</v>
      </c>
      <c r="Y631" s="16">
        <v>0</v>
      </c>
      <c r="AA631" s="16">
        <v>0</v>
      </c>
      <c r="AC631" s="16">
        <v>0</v>
      </c>
      <c r="AE631" s="32">
        <f t="shared" si="9"/>
        <v>86882</v>
      </c>
    </row>
    <row r="632" spans="1:31" ht="12.75" customHeight="1">
      <c r="A632" s="1" t="s">
        <v>420</v>
      </c>
      <c r="C632" s="1" t="s">
        <v>155</v>
      </c>
      <c r="D632" s="16"/>
      <c r="E632" s="16">
        <v>240284</v>
      </c>
      <c r="G632" s="16">
        <v>800831</v>
      </c>
      <c r="I632" s="16">
        <v>411650</v>
      </c>
      <c r="K632" s="16">
        <v>8920</v>
      </c>
      <c r="M632" s="16">
        <v>328</v>
      </c>
      <c r="O632" s="16">
        <v>5474</v>
      </c>
      <c r="Q632" s="16">
        <v>41723</v>
      </c>
      <c r="S632" s="16">
        <v>8916</v>
      </c>
      <c r="U632" s="16">
        <v>0</v>
      </c>
      <c r="W632" s="16">
        <v>2992</v>
      </c>
      <c r="Y632" s="16">
        <v>0</v>
      </c>
      <c r="AA632" s="16">
        <v>0</v>
      </c>
      <c r="AC632" s="16">
        <v>0</v>
      </c>
      <c r="AE632" s="32">
        <f t="shared" si="9"/>
        <v>1521118</v>
      </c>
    </row>
    <row r="633" spans="1:31" ht="12.75" customHeight="1">
      <c r="A633" s="1" t="s">
        <v>421</v>
      </c>
      <c r="C633" s="1" t="s">
        <v>98</v>
      </c>
      <c r="D633" s="16"/>
      <c r="E633" s="16">
        <v>2695</v>
      </c>
      <c r="G633" s="16">
        <v>0</v>
      </c>
      <c r="I633" s="16">
        <v>9296</v>
      </c>
      <c r="K633" s="16">
        <v>0</v>
      </c>
      <c r="M633" s="16">
        <v>333</v>
      </c>
      <c r="O633" s="16">
        <v>0</v>
      </c>
      <c r="Q633" s="16">
        <v>0</v>
      </c>
      <c r="S633" s="16">
        <v>990</v>
      </c>
      <c r="U633" s="16">
        <v>0</v>
      </c>
      <c r="W633" s="16">
        <v>0</v>
      </c>
      <c r="Y633" s="16">
        <v>0</v>
      </c>
      <c r="AA633" s="16">
        <v>0</v>
      </c>
      <c r="AC633" s="16">
        <v>0</v>
      </c>
      <c r="AE633" s="32">
        <f t="shared" si="9"/>
        <v>13314</v>
      </c>
    </row>
    <row r="634" spans="1:31" ht="12.75" customHeight="1">
      <c r="A634" s="1" t="s">
        <v>763</v>
      </c>
      <c r="C634" s="1" t="s">
        <v>84</v>
      </c>
      <c r="E634" s="16">
        <v>41058</v>
      </c>
      <c r="G634" s="16">
        <v>187168</v>
      </c>
      <c r="I634" s="16">
        <v>66731</v>
      </c>
      <c r="K634" s="16">
        <v>0</v>
      </c>
      <c r="M634" s="16">
        <v>34730</v>
      </c>
      <c r="O634" s="16">
        <v>15361</v>
      </c>
      <c r="Q634" s="16">
        <v>3230</v>
      </c>
      <c r="S634" s="16">
        <v>3060</v>
      </c>
      <c r="U634" s="16">
        <v>0</v>
      </c>
      <c r="W634" s="16">
        <v>6500</v>
      </c>
      <c r="Y634" s="16">
        <v>0</v>
      </c>
      <c r="AA634" s="16">
        <v>0</v>
      </c>
      <c r="AC634" s="16">
        <v>0</v>
      </c>
      <c r="AE634" s="32">
        <f t="shared" si="9"/>
        <v>357838</v>
      </c>
    </row>
    <row r="635" spans="1:31" ht="12.75" customHeight="1">
      <c r="A635" s="1" t="s">
        <v>444</v>
      </c>
      <c r="C635" s="1" t="s">
        <v>346</v>
      </c>
      <c r="E635" s="16">
        <v>126030</v>
      </c>
      <c r="G635" s="16">
        <v>300099</v>
      </c>
      <c r="I635" s="16">
        <v>796893</v>
      </c>
      <c r="K635" s="16">
        <v>0</v>
      </c>
      <c r="M635" s="16">
        <v>46963</v>
      </c>
      <c r="O635" s="16">
        <v>66433</v>
      </c>
      <c r="Q635" s="16">
        <v>5196</v>
      </c>
      <c r="S635" s="16">
        <v>9584</v>
      </c>
      <c r="U635" s="16">
        <v>0</v>
      </c>
      <c r="W635" s="16">
        <v>0</v>
      </c>
      <c r="Y635" s="16">
        <v>0</v>
      </c>
      <c r="AA635" s="16">
        <v>0</v>
      </c>
      <c r="AC635" s="16">
        <v>0</v>
      </c>
      <c r="AE635" s="32">
        <f t="shared" si="9"/>
        <v>1351198</v>
      </c>
    </row>
    <row r="636" spans="1:31" ht="12.75" customHeight="1">
      <c r="A636" s="1" t="s">
        <v>767</v>
      </c>
      <c r="C636" s="1" t="s">
        <v>190</v>
      </c>
      <c r="E636" s="16">
        <v>142675</v>
      </c>
      <c r="G636" s="16">
        <v>88908</v>
      </c>
      <c r="I636" s="16">
        <v>107263</v>
      </c>
      <c r="K636" s="16">
        <v>285</v>
      </c>
      <c r="M636" s="16">
        <v>0</v>
      </c>
      <c r="O636" s="16">
        <v>10179</v>
      </c>
      <c r="Q636" s="16">
        <v>6448</v>
      </c>
      <c r="S636" s="16">
        <v>12004</v>
      </c>
      <c r="U636" s="16">
        <v>0</v>
      </c>
      <c r="W636" s="16">
        <v>0</v>
      </c>
      <c r="Y636" s="16">
        <v>0</v>
      </c>
      <c r="AA636" s="16">
        <v>3077</v>
      </c>
      <c r="AC636" s="16">
        <v>0</v>
      </c>
      <c r="AE636" s="32">
        <f t="shared" si="9"/>
        <v>370839</v>
      </c>
    </row>
    <row r="637" spans="1:31" ht="12.75" customHeight="1">
      <c r="A637" s="1" t="s">
        <v>645</v>
      </c>
      <c r="C637" s="1" t="s">
        <v>274</v>
      </c>
      <c r="E637" s="16">
        <v>107305</v>
      </c>
      <c r="G637" s="16">
        <v>1211738</v>
      </c>
      <c r="I637" s="16">
        <v>67417</v>
      </c>
      <c r="K637" s="16">
        <v>0</v>
      </c>
      <c r="M637" s="16">
        <v>58371</v>
      </c>
      <c r="O637" s="16">
        <v>1695</v>
      </c>
      <c r="Q637" s="16">
        <v>25563</v>
      </c>
      <c r="S637" s="16">
        <v>111986</v>
      </c>
      <c r="U637" s="16">
        <v>0</v>
      </c>
      <c r="W637" s="16">
        <v>0</v>
      </c>
      <c r="Y637" s="16">
        <v>0</v>
      </c>
      <c r="AA637" s="16">
        <v>0</v>
      </c>
      <c r="AC637" s="16">
        <v>0</v>
      </c>
      <c r="AE637" s="32">
        <f t="shared" si="9"/>
        <v>1584075</v>
      </c>
    </row>
    <row r="638" spans="1:31" ht="12.75" customHeight="1">
      <c r="A638" s="1" t="s">
        <v>778</v>
      </c>
      <c r="C638" s="1" t="s">
        <v>94</v>
      </c>
      <c r="E638" s="16">
        <v>29058</v>
      </c>
      <c r="G638" s="16">
        <v>263648</v>
      </c>
      <c r="I638" s="16">
        <v>166012</v>
      </c>
      <c r="K638" s="16">
        <v>373</v>
      </c>
      <c r="M638" s="16">
        <v>12000</v>
      </c>
      <c r="O638" s="16">
        <v>9664</v>
      </c>
      <c r="Q638" s="16">
        <v>10239</v>
      </c>
      <c r="S638" s="16">
        <v>17221</v>
      </c>
      <c r="U638" s="16">
        <v>0</v>
      </c>
      <c r="W638" s="16">
        <v>0</v>
      </c>
      <c r="Y638" s="16">
        <v>0</v>
      </c>
      <c r="AA638" s="16">
        <v>0</v>
      </c>
      <c r="AC638" s="16">
        <v>0</v>
      </c>
      <c r="AE638" s="32">
        <f t="shared" si="9"/>
        <v>508215</v>
      </c>
    </row>
    <row r="639" spans="1:31" ht="12.75" customHeight="1">
      <c r="A639" s="1" t="s">
        <v>422</v>
      </c>
      <c r="C639" s="1" t="s">
        <v>250</v>
      </c>
      <c r="D639" s="16"/>
      <c r="E639" s="16">
        <v>267357</v>
      </c>
      <c r="G639" s="16">
        <v>0</v>
      </c>
      <c r="I639" s="16">
        <v>338577</v>
      </c>
      <c r="K639" s="16">
        <v>0</v>
      </c>
      <c r="M639" s="16">
        <v>63427</v>
      </c>
      <c r="O639" s="16">
        <v>94404</v>
      </c>
      <c r="Q639" s="16">
        <v>0</v>
      </c>
      <c r="S639" s="16">
        <v>96515</v>
      </c>
      <c r="U639" s="16">
        <v>0</v>
      </c>
      <c r="W639" s="16">
        <v>530000</v>
      </c>
      <c r="Y639" s="16">
        <v>1007952</v>
      </c>
      <c r="AA639" s="16">
        <v>0</v>
      </c>
      <c r="AC639" s="16">
        <v>0</v>
      </c>
      <c r="AE639" s="32">
        <f t="shared" si="9"/>
        <v>2398232</v>
      </c>
    </row>
    <row r="640" spans="1:31" ht="12.75" customHeight="1">
      <c r="A640" s="1" t="s">
        <v>423</v>
      </c>
      <c r="C640" s="1" t="s">
        <v>236</v>
      </c>
      <c r="D640" s="16"/>
      <c r="E640" s="16">
        <v>2769</v>
      </c>
      <c r="G640" s="16">
        <v>0</v>
      </c>
      <c r="I640" s="16">
        <v>10372</v>
      </c>
      <c r="K640" s="16">
        <v>0</v>
      </c>
      <c r="M640" s="16">
        <v>0</v>
      </c>
      <c r="O640" s="16">
        <v>0</v>
      </c>
      <c r="Q640" s="16">
        <v>74</v>
      </c>
      <c r="S640" s="16">
        <v>55</v>
      </c>
      <c r="U640" s="16">
        <v>0</v>
      </c>
      <c r="W640" s="16">
        <v>0</v>
      </c>
      <c r="Y640" s="16">
        <v>0</v>
      </c>
      <c r="AA640" s="16">
        <v>0</v>
      </c>
      <c r="AC640" s="16">
        <v>0</v>
      </c>
      <c r="AE640" s="32">
        <f t="shared" si="9"/>
        <v>13270</v>
      </c>
    </row>
    <row r="641" spans="1:31" ht="12.75" customHeight="1">
      <c r="A641" s="1" t="s">
        <v>498</v>
      </c>
      <c r="C641" s="1" t="s">
        <v>102</v>
      </c>
      <c r="E641" s="16">
        <v>107580</v>
      </c>
      <c r="G641" s="16">
        <v>0</v>
      </c>
      <c r="I641" s="16">
        <v>112653</v>
      </c>
      <c r="K641" s="16">
        <v>0</v>
      </c>
      <c r="M641" s="16">
        <v>48428</v>
      </c>
      <c r="O641" s="16">
        <v>28252</v>
      </c>
      <c r="Q641" s="16">
        <v>4582</v>
      </c>
      <c r="S641" s="16">
        <v>624</v>
      </c>
      <c r="U641" s="16">
        <v>0</v>
      </c>
      <c r="W641" s="16">
        <v>0</v>
      </c>
      <c r="Y641" s="16">
        <v>235000</v>
      </c>
      <c r="AA641" s="16">
        <v>0</v>
      </c>
      <c r="AC641" s="16">
        <v>0</v>
      </c>
      <c r="AE641" s="32">
        <f t="shared" si="9"/>
        <v>537119</v>
      </c>
    </row>
    <row r="642" spans="1:31" ht="12.75" customHeight="1">
      <c r="A642" s="1" t="s">
        <v>689</v>
      </c>
      <c r="C642" s="1" t="s">
        <v>184</v>
      </c>
      <c r="E642" s="16">
        <v>30327</v>
      </c>
      <c r="G642" s="16">
        <v>0</v>
      </c>
      <c r="I642" s="16">
        <v>42202</v>
      </c>
      <c r="K642" s="16">
        <v>0</v>
      </c>
      <c r="M642" s="16">
        <v>0</v>
      </c>
      <c r="O642" s="16">
        <v>1029</v>
      </c>
      <c r="Q642" s="16">
        <v>5188</v>
      </c>
      <c r="S642" s="16">
        <v>5398</v>
      </c>
      <c r="U642" s="16">
        <v>0</v>
      </c>
      <c r="W642" s="16">
        <v>0</v>
      </c>
      <c r="Y642" s="16">
        <v>0</v>
      </c>
      <c r="AA642" s="16">
        <v>0</v>
      </c>
      <c r="AC642" s="16">
        <v>0</v>
      </c>
      <c r="AE642" s="32">
        <f t="shared" si="9"/>
        <v>84144</v>
      </c>
    </row>
    <row r="643" spans="1:31" ht="12.75" customHeight="1">
      <c r="A643" s="1" t="s">
        <v>424</v>
      </c>
      <c r="C643" s="1" t="s">
        <v>192</v>
      </c>
      <c r="D643" s="16"/>
      <c r="E643" s="16">
        <v>22035</v>
      </c>
      <c r="G643" s="16">
        <v>0</v>
      </c>
      <c r="I643" s="16">
        <v>24027</v>
      </c>
      <c r="K643" s="16">
        <v>0</v>
      </c>
      <c r="M643" s="16">
        <v>120</v>
      </c>
      <c r="O643" s="16">
        <v>0</v>
      </c>
      <c r="Q643" s="16">
        <v>2055</v>
      </c>
      <c r="S643" s="16">
        <v>19292</v>
      </c>
      <c r="U643" s="16">
        <v>0</v>
      </c>
      <c r="W643" s="16">
        <v>0</v>
      </c>
      <c r="Y643" s="16">
        <v>0</v>
      </c>
      <c r="AA643" s="16">
        <v>0</v>
      </c>
      <c r="AC643" s="16">
        <v>0</v>
      </c>
      <c r="AE643" s="32">
        <f t="shared" si="9"/>
        <v>67529</v>
      </c>
    </row>
    <row r="644" spans="1:31" ht="12.75" customHeight="1">
      <c r="A644" s="1" t="s">
        <v>733</v>
      </c>
      <c r="C644" s="1" t="s">
        <v>106</v>
      </c>
      <c r="E644" s="16">
        <v>11392</v>
      </c>
      <c r="G644" s="16">
        <v>89850</v>
      </c>
      <c r="I644" s="16">
        <v>9217</v>
      </c>
      <c r="K644" s="16">
        <v>0</v>
      </c>
      <c r="M644" s="16">
        <v>0</v>
      </c>
      <c r="O644" s="16">
        <v>4344</v>
      </c>
      <c r="Q644" s="16">
        <v>534</v>
      </c>
      <c r="S644" s="16">
        <v>2059</v>
      </c>
      <c r="U644" s="16">
        <v>0</v>
      </c>
      <c r="W644" s="16">
        <v>0</v>
      </c>
      <c r="Y644" s="16">
        <v>0</v>
      </c>
      <c r="AA644" s="16">
        <v>0</v>
      </c>
      <c r="AC644" s="16">
        <v>0</v>
      </c>
      <c r="AE644" s="32">
        <f t="shared" si="9"/>
        <v>117396</v>
      </c>
    </row>
    <row r="645" spans="1:31" ht="12.75" customHeight="1">
      <c r="A645" s="1" t="s">
        <v>425</v>
      </c>
      <c r="C645" s="1" t="s">
        <v>80</v>
      </c>
      <c r="D645" s="16"/>
      <c r="E645" s="16">
        <v>2064</v>
      </c>
      <c r="G645" s="16">
        <v>0</v>
      </c>
      <c r="I645" s="16">
        <v>9864</v>
      </c>
      <c r="K645" s="16">
        <v>0</v>
      </c>
      <c r="M645" s="16">
        <v>0</v>
      </c>
      <c r="O645" s="16">
        <v>0</v>
      </c>
      <c r="Q645" s="16">
        <v>0</v>
      </c>
      <c r="S645" s="16">
        <v>17</v>
      </c>
      <c r="U645" s="16">
        <v>0</v>
      </c>
      <c r="W645" s="16">
        <v>0</v>
      </c>
      <c r="Y645" s="16">
        <v>0</v>
      </c>
      <c r="AA645" s="16">
        <v>0</v>
      </c>
      <c r="AC645" s="16">
        <v>0</v>
      </c>
      <c r="AE645" s="32">
        <f t="shared" si="9"/>
        <v>11945</v>
      </c>
    </row>
    <row r="646" spans="1:31" ht="12.75" customHeight="1">
      <c r="A646" s="1" t="s">
        <v>445</v>
      </c>
      <c r="C646" s="1" t="s">
        <v>346</v>
      </c>
      <c r="E646" s="16">
        <v>58002</v>
      </c>
      <c r="G646" s="16">
        <v>0</v>
      </c>
      <c r="I646" s="16">
        <v>20394</v>
      </c>
      <c r="K646" s="16">
        <v>0</v>
      </c>
      <c r="M646" s="16">
        <v>0</v>
      </c>
      <c r="O646" s="16">
        <v>38319</v>
      </c>
      <c r="Q646" s="16">
        <v>4792</v>
      </c>
      <c r="S646" s="16">
        <v>5136</v>
      </c>
      <c r="U646" s="16">
        <v>0</v>
      </c>
      <c r="W646" s="16">
        <v>0</v>
      </c>
      <c r="Y646" s="16">
        <v>0</v>
      </c>
      <c r="AA646" s="16">
        <v>0</v>
      </c>
      <c r="AC646" s="16">
        <v>0</v>
      </c>
      <c r="AE646" s="32">
        <f t="shared" si="9"/>
        <v>126643</v>
      </c>
    </row>
    <row r="647" spans="1:31" ht="12.75" customHeight="1">
      <c r="A647" s="1" t="s">
        <v>694</v>
      </c>
      <c r="C647" s="1" t="s">
        <v>137</v>
      </c>
      <c r="E647" s="16">
        <v>72909</v>
      </c>
      <c r="G647" s="16">
        <v>356189</v>
      </c>
      <c r="I647" s="16">
        <v>162273</v>
      </c>
      <c r="K647" s="16">
        <v>7202</v>
      </c>
      <c r="M647" s="16">
        <v>39044</v>
      </c>
      <c r="O647" s="16">
        <v>12502</v>
      </c>
      <c r="Q647" s="16">
        <v>0</v>
      </c>
      <c r="S647" s="16">
        <v>4303</v>
      </c>
      <c r="U647" s="16">
        <v>0</v>
      </c>
      <c r="W647" s="16">
        <v>0</v>
      </c>
      <c r="Y647" s="16">
        <v>55000</v>
      </c>
      <c r="AA647" s="16">
        <v>0</v>
      </c>
      <c r="AC647" s="16">
        <v>6173</v>
      </c>
      <c r="AE647" s="32">
        <f t="shared" si="9"/>
        <v>715595</v>
      </c>
    </row>
    <row r="648" spans="1:31" ht="12.75" customHeight="1">
      <c r="A648" s="1" t="s">
        <v>603</v>
      </c>
      <c r="C648" s="1" t="s">
        <v>69</v>
      </c>
      <c r="E648" s="16">
        <v>160725</v>
      </c>
      <c r="G648" s="16">
        <v>645363</v>
      </c>
      <c r="I648" s="16">
        <v>269561</v>
      </c>
      <c r="K648" s="16">
        <v>0</v>
      </c>
      <c r="M648" s="16">
        <v>36675</v>
      </c>
      <c r="O648" s="16">
        <v>108160</v>
      </c>
      <c r="Q648" s="16">
        <v>22626</v>
      </c>
      <c r="S648" s="16">
        <v>9424</v>
      </c>
      <c r="U648" s="16">
        <v>166797</v>
      </c>
      <c r="W648" s="16">
        <v>0</v>
      </c>
      <c r="Y648" s="16">
        <v>167</v>
      </c>
      <c r="AA648" s="16">
        <v>0</v>
      </c>
      <c r="AC648" s="16">
        <v>0</v>
      </c>
      <c r="AE648" s="32">
        <f t="shared" si="9"/>
        <v>1419498</v>
      </c>
    </row>
    <row r="649" spans="1:31" ht="12.75" customHeight="1">
      <c r="A649" s="1" t="s">
        <v>426</v>
      </c>
      <c r="C649" s="1" t="s">
        <v>73</v>
      </c>
      <c r="D649" s="16"/>
      <c r="E649" s="16">
        <v>3684089</v>
      </c>
      <c r="G649" s="16">
        <v>0</v>
      </c>
      <c r="I649" s="16">
        <v>199605</v>
      </c>
      <c r="K649" s="16">
        <v>0</v>
      </c>
      <c r="M649" s="16">
        <v>167155</v>
      </c>
      <c r="O649" s="16">
        <v>139714</v>
      </c>
      <c r="Q649" s="16">
        <v>2641</v>
      </c>
      <c r="S649" s="16">
        <v>188788</v>
      </c>
      <c r="U649" s="16">
        <v>400000</v>
      </c>
      <c r="W649" s="16">
        <v>0</v>
      </c>
      <c r="Y649" s="16">
        <v>165780</v>
      </c>
      <c r="AA649" s="16">
        <v>0</v>
      </c>
      <c r="AC649" s="16">
        <v>0</v>
      </c>
      <c r="AE649" s="32">
        <f t="shared" si="9"/>
        <v>4947772</v>
      </c>
    </row>
    <row r="650" spans="1:31" ht="12.75" customHeight="1">
      <c r="A650" s="1" t="s">
        <v>427</v>
      </c>
      <c r="C650" s="1" t="s">
        <v>112</v>
      </c>
      <c r="D650" s="16"/>
      <c r="E650" s="16">
        <v>1733941</v>
      </c>
      <c r="G650" s="16">
        <v>0</v>
      </c>
      <c r="I650" s="16">
        <v>72094</v>
      </c>
      <c r="K650" s="16">
        <v>0</v>
      </c>
      <c r="M650" s="16">
        <v>34718</v>
      </c>
      <c r="O650" s="16">
        <v>174199</v>
      </c>
      <c r="Q650" s="16">
        <v>9122</v>
      </c>
      <c r="S650" s="16">
        <v>0</v>
      </c>
      <c r="U650" s="16">
        <v>0</v>
      </c>
      <c r="W650" s="16">
        <v>25</v>
      </c>
      <c r="Y650" s="16">
        <v>0</v>
      </c>
      <c r="AA650" s="16">
        <v>18700</v>
      </c>
      <c r="AC650" s="16">
        <v>21611</v>
      </c>
      <c r="AE650" s="32">
        <f t="shared" si="9"/>
        <v>2064410</v>
      </c>
    </row>
    <row r="651" spans="1:31" ht="12.75" customHeight="1">
      <c r="A651" s="1" t="s">
        <v>661</v>
      </c>
      <c r="C651" s="1" t="s">
        <v>80</v>
      </c>
      <c r="E651" s="16">
        <v>43836</v>
      </c>
      <c r="G651" s="16">
        <v>170160</v>
      </c>
      <c r="I651" s="16">
        <v>95216</v>
      </c>
      <c r="K651" s="16">
        <v>0</v>
      </c>
      <c r="M651" s="16">
        <v>69100</v>
      </c>
      <c r="O651" s="16">
        <v>20971</v>
      </c>
      <c r="Q651" s="16">
        <v>5059</v>
      </c>
      <c r="S651" s="16">
        <v>113123</v>
      </c>
      <c r="U651" s="16">
        <v>35000</v>
      </c>
      <c r="W651" s="16">
        <v>0</v>
      </c>
      <c r="Y651" s="16">
        <v>6534</v>
      </c>
      <c r="AA651" s="16">
        <v>0</v>
      </c>
      <c r="AC651" s="16">
        <v>0</v>
      </c>
      <c r="AE651" s="32">
        <f t="shared" si="9"/>
        <v>558999</v>
      </c>
    </row>
    <row r="652" spans="1:31" ht="12.75" customHeight="1">
      <c r="A652" s="1" t="s">
        <v>428</v>
      </c>
      <c r="C652" s="1" t="s">
        <v>312</v>
      </c>
      <c r="D652" s="16"/>
      <c r="E652" s="16">
        <v>10521</v>
      </c>
      <c r="G652" s="16">
        <v>0</v>
      </c>
      <c r="I652" s="16">
        <v>18997</v>
      </c>
      <c r="K652" s="16">
        <v>0</v>
      </c>
      <c r="M652" s="16">
        <v>0</v>
      </c>
      <c r="O652" s="16">
        <v>482</v>
      </c>
      <c r="Q652" s="16">
        <v>1128</v>
      </c>
      <c r="S652" s="16">
        <v>312</v>
      </c>
      <c r="U652" s="16">
        <v>0</v>
      </c>
      <c r="W652" s="16">
        <v>0</v>
      </c>
      <c r="Y652" s="16">
        <v>0</v>
      </c>
      <c r="AA652" s="16">
        <v>0</v>
      </c>
      <c r="AC652" s="16">
        <v>495</v>
      </c>
      <c r="AE652" s="32">
        <f t="shared" si="9"/>
        <v>31935</v>
      </c>
    </row>
    <row r="653" spans="1:31" ht="12.75" customHeight="1">
      <c r="A653" s="1" t="s">
        <v>429</v>
      </c>
      <c r="C653" s="1" t="s">
        <v>142</v>
      </c>
      <c r="D653" s="1"/>
      <c r="E653" s="16">
        <v>272160</v>
      </c>
      <c r="G653" s="16">
        <v>0</v>
      </c>
      <c r="I653" s="16">
        <v>157295</v>
      </c>
      <c r="K653" s="16">
        <v>0</v>
      </c>
      <c r="M653" s="16">
        <v>24124</v>
      </c>
      <c r="O653" s="16">
        <v>46494</v>
      </c>
      <c r="Q653" s="16">
        <v>13814</v>
      </c>
      <c r="S653" s="16">
        <v>10049</v>
      </c>
      <c r="U653" s="16">
        <v>0</v>
      </c>
      <c r="W653" s="16">
        <v>0</v>
      </c>
      <c r="Y653" s="16">
        <v>0</v>
      </c>
      <c r="AA653" s="16">
        <v>0</v>
      </c>
      <c r="AC653" s="16">
        <v>0</v>
      </c>
      <c r="AE653" s="32">
        <f t="shared" si="9"/>
        <v>523936</v>
      </c>
    </row>
    <row r="654" spans="1:31" ht="12.75" customHeight="1">
      <c r="A654" s="1" t="s">
        <v>751</v>
      </c>
      <c r="C654" s="1" t="s">
        <v>192</v>
      </c>
      <c r="E654" s="16">
        <v>14545</v>
      </c>
      <c r="G654" s="16">
        <v>0</v>
      </c>
      <c r="I654" s="16">
        <v>25457</v>
      </c>
      <c r="K654" s="16">
        <v>0</v>
      </c>
      <c r="M654" s="16">
        <v>0</v>
      </c>
      <c r="O654" s="16">
        <v>0</v>
      </c>
      <c r="Q654" s="16">
        <v>303</v>
      </c>
      <c r="S654" s="16">
        <v>5553</v>
      </c>
      <c r="U654" s="16">
        <v>0</v>
      </c>
      <c r="W654" s="16">
        <v>0</v>
      </c>
      <c r="Y654" s="16">
        <v>0</v>
      </c>
      <c r="AA654" s="16">
        <v>0</v>
      </c>
      <c r="AC654" s="16">
        <v>442</v>
      </c>
      <c r="AE654" s="32">
        <f t="shared" si="9"/>
        <v>46300</v>
      </c>
    </row>
    <row r="655" spans="1:31" ht="12.75" customHeight="1">
      <c r="A655" s="1" t="s">
        <v>737</v>
      </c>
      <c r="C655" s="1" t="s">
        <v>276</v>
      </c>
      <c r="E655" s="16">
        <v>11563</v>
      </c>
      <c r="G655" s="16">
        <v>0</v>
      </c>
      <c r="I655" s="16">
        <v>5288</v>
      </c>
      <c r="K655" s="16">
        <v>0</v>
      </c>
      <c r="M655" s="16">
        <v>0</v>
      </c>
      <c r="O655" s="16">
        <v>615</v>
      </c>
      <c r="Q655" s="16">
        <v>59</v>
      </c>
      <c r="S655" s="16">
        <v>0</v>
      </c>
      <c r="U655" s="16">
        <v>0</v>
      </c>
      <c r="W655" s="16">
        <v>0</v>
      </c>
      <c r="Y655" s="16">
        <v>0</v>
      </c>
      <c r="AA655" s="16">
        <v>0</v>
      </c>
      <c r="AC655" s="16">
        <v>0</v>
      </c>
      <c r="AE655" s="32">
        <f t="shared" si="9"/>
        <v>17525</v>
      </c>
    </row>
    <row r="656" spans="1:31" ht="12.75" customHeight="1">
      <c r="A656" s="1" t="s">
        <v>430</v>
      </c>
      <c r="C656" s="1" t="s">
        <v>157</v>
      </c>
      <c r="D656" s="16"/>
      <c r="E656" s="16">
        <v>177443</v>
      </c>
      <c r="G656" s="16">
        <v>1406439</v>
      </c>
      <c r="I656" s="16">
        <v>276110</v>
      </c>
      <c r="K656" s="16">
        <v>0</v>
      </c>
      <c r="M656" s="16">
        <v>0</v>
      </c>
      <c r="O656" s="16">
        <v>38991</v>
      </c>
      <c r="Q656" s="16">
        <v>30731</v>
      </c>
      <c r="S656" s="16">
        <v>227860</v>
      </c>
      <c r="U656" s="16">
        <v>0</v>
      </c>
      <c r="W656" s="16">
        <v>0</v>
      </c>
      <c r="Y656" s="16">
        <v>175417</v>
      </c>
      <c r="AA656" s="16">
        <v>0</v>
      </c>
      <c r="AC656" s="16">
        <v>0</v>
      </c>
      <c r="AE656" s="32">
        <f t="shared" si="9"/>
        <v>2332991</v>
      </c>
    </row>
    <row r="657" spans="1:31" ht="12.75" customHeight="1">
      <c r="A657" s="1" t="s">
        <v>784</v>
      </c>
      <c r="D657" s="1"/>
      <c r="E657" s="1"/>
      <c r="F657" s="1"/>
      <c r="G657" s="1"/>
      <c r="AA657" s="16"/>
      <c r="AC657" s="16"/>
      <c r="AE657" s="32" t="s">
        <v>785</v>
      </c>
    </row>
    <row r="658" spans="1:31" ht="12.75" customHeight="1">
      <c r="A658" s="36" t="s">
        <v>431</v>
      </c>
      <c r="B658" s="36"/>
      <c r="C658" s="36" t="s">
        <v>78</v>
      </c>
      <c r="D658" s="36"/>
      <c r="E658" s="36">
        <v>1364</v>
      </c>
      <c r="F658" s="36"/>
      <c r="G658" s="36">
        <v>28486</v>
      </c>
      <c r="H658" s="36"/>
      <c r="I658" s="36">
        <v>0</v>
      </c>
      <c r="J658" s="36"/>
      <c r="K658" s="36">
        <v>0</v>
      </c>
      <c r="L658" s="36"/>
      <c r="M658" s="36">
        <v>0</v>
      </c>
      <c r="N658" s="36"/>
      <c r="O658" s="36">
        <v>0</v>
      </c>
      <c r="P658" s="36"/>
      <c r="Q658" s="36">
        <v>240</v>
      </c>
      <c r="R658" s="36"/>
      <c r="S658" s="36">
        <v>1561</v>
      </c>
      <c r="T658" s="36"/>
      <c r="U658" s="36">
        <v>0</v>
      </c>
      <c r="V658" s="36"/>
      <c r="W658" s="36">
        <v>0</v>
      </c>
      <c r="X658" s="36"/>
      <c r="Y658" s="36">
        <v>0</v>
      </c>
      <c r="Z658" s="36"/>
      <c r="AA658" s="36">
        <v>0</v>
      </c>
      <c r="AB658" s="37"/>
      <c r="AC658" s="36">
        <v>0</v>
      </c>
      <c r="AD658" s="37"/>
      <c r="AE658" s="38">
        <f t="shared" si="9"/>
        <v>31651</v>
      </c>
    </row>
    <row r="659" spans="1:44" s="16" customFormat="1" ht="12.75" customHeight="1">
      <c r="A659" s="16" t="s">
        <v>432</v>
      </c>
      <c r="C659" s="16" t="s">
        <v>69</v>
      </c>
      <c r="E659" s="16">
        <v>185013</v>
      </c>
      <c r="G659" s="16">
        <v>0</v>
      </c>
      <c r="I659" s="16">
        <v>64537</v>
      </c>
      <c r="K659" s="16">
        <v>0</v>
      </c>
      <c r="M659" s="16">
        <v>6803</v>
      </c>
      <c r="O659" s="16">
        <v>12155</v>
      </c>
      <c r="Q659" s="16">
        <v>18634</v>
      </c>
      <c r="S659" s="16">
        <v>0</v>
      </c>
      <c r="U659" s="16">
        <v>0</v>
      </c>
      <c r="W659" s="16">
        <v>0</v>
      </c>
      <c r="Y659" s="16">
        <v>0</v>
      </c>
      <c r="AA659" s="16">
        <v>0</v>
      </c>
      <c r="AB659" s="20"/>
      <c r="AC659" s="16">
        <v>0</v>
      </c>
      <c r="AD659" s="20"/>
      <c r="AE659" s="32">
        <f t="shared" si="9"/>
        <v>287142</v>
      </c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</row>
    <row r="660" spans="1:31" ht="12.75" customHeight="1">
      <c r="A660" s="1" t="s">
        <v>433</v>
      </c>
      <c r="C660" s="1" t="s">
        <v>236</v>
      </c>
      <c r="D660" s="16"/>
      <c r="E660" s="16">
        <f>135+3613</f>
        <v>3748</v>
      </c>
      <c r="G660" s="16">
        <v>0</v>
      </c>
      <c r="I660" s="16">
        <v>16065</v>
      </c>
      <c r="K660" s="16">
        <v>0</v>
      </c>
      <c r="M660" s="16">
        <v>0</v>
      </c>
      <c r="O660" s="16">
        <v>0</v>
      </c>
      <c r="Q660" s="16">
        <v>0</v>
      </c>
      <c r="S660" s="16">
        <v>24</v>
      </c>
      <c r="U660" s="16">
        <v>0</v>
      </c>
      <c r="W660" s="16">
        <v>0</v>
      </c>
      <c r="Y660" s="16">
        <v>0</v>
      </c>
      <c r="AA660" s="16">
        <v>0</v>
      </c>
      <c r="AC660" s="16">
        <v>0</v>
      </c>
      <c r="AE660" s="32">
        <f t="shared" si="9"/>
        <v>19837</v>
      </c>
    </row>
    <row r="661" spans="1:31" ht="12.75" customHeight="1">
      <c r="A661" s="1" t="s">
        <v>434</v>
      </c>
      <c r="C661" s="1" t="s">
        <v>369</v>
      </c>
      <c r="D661" s="16"/>
      <c r="E661" s="16">
        <v>17131</v>
      </c>
      <c r="G661" s="16">
        <v>0</v>
      </c>
      <c r="I661" s="16">
        <v>752</v>
      </c>
      <c r="K661" s="16">
        <v>0</v>
      </c>
      <c r="M661" s="16">
        <v>0</v>
      </c>
      <c r="O661" s="16">
        <v>0</v>
      </c>
      <c r="Q661" s="16">
        <v>0</v>
      </c>
      <c r="S661" s="16">
        <v>76463</v>
      </c>
      <c r="U661" s="16">
        <v>0</v>
      </c>
      <c r="W661" s="16">
        <v>0</v>
      </c>
      <c r="Y661" s="16">
        <v>0</v>
      </c>
      <c r="AA661" s="16">
        <v>0</v>
      </c>
      <c r="AC661" s="16">
        <v>0</v>
      </c>
      <c r="AE661" s="32">
        <f t="shared" si="9"/>
        <v>94346</v>
      </c>
    </row>
    <row r="662" spans="1:31" ht="12.75" customHeight="1">
      <c r="A662" s="1" t="s">
        <v>742</v>
      </c>
      <c r="C662" s="1" t="s">
        <v>96</v>
      </c>
      <c r="E662" s="16">
        <v>15670</v>
      </c>
      <c r="G662" s="16">
        <v>0</v>
      </c>
      <c r="I662" s="16">
        <v>9206</v>
      </c>
      <c r="K662" s="16">
        <v>0</v>
      </c>
      <c r="M662" s="16">
        <v>0</v>
      </c>
      <c r="O662" s="16">
        <v>1392</v>
      </c>
      <c r="Q662" s="16">
        <v>255</v>
      </c>
      <c r="S662" s="16">
        <v>372</v>
      </c>
      <c r="U662" s="16">
        <v>0</v>
      </c>
      <c r="W662" s="16">
        <v>0</v>
      </c>
      <c r="Y662" s="16">
        <v>0</v>
      </c>
      <c r="AA662" s="16">
        <v>0</v>
      </c>
      <c r="AC662" s="16">
        <v>0</v>
      </c>
      <c r="AE662" s="32">
        <f t="shared" si="9"/>
        <v>26895</v>
      </c>
    </row>
    <row r="664" ht="12.75" customHeight="1">
      <c r="A664" s="1" t="s">
        <v>784</v>
      </c>
    </row>
  </sheetData>
  <printOptions horizontalCentered="1"/>
  <pageMargins left="1" right="1" top="0.5" bottom="0.5" header="0" footer="0.25"/>
  <pageSetup firstPageNumber="4" useFirstPageNumber="1" horizontalDpi="1200" verticalDpi="1200" orientation="portrait" pageOrder="overThenDown" scale="80" r:id="rId1"/>
  <headerFooter alignWithMargins="0"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2"/>
  <sheetViews>
    <sheetView zoomScaleSheetLayoutView="50" workbookViewId="0" topLeftCell="A1">
      <selection activeCell="A5" sqref="A5"/>
    </sheetView>
  </sheetViews>
  <sheetFormatPr defaultColWidth="9.140625" defaultRowHeight="12.75" customHeight="1"/>
  <cols>
    <col min="1" max="1" width="15.7109375" style="1" customWidth="1"/>
    <col min="2" max="2" width="1.7109375" style="1" customWidth="1"/>
    <col min="3" max="3" width="11.7109375" style="1" customWidth="1"/>
    <col min="4" max="4" width="1.7109375" style="1" customWidth="1"/>
    <col min="5" max="5" width="11.7109375" style="16" customWidth="1"/>
    <col min="6" max="6" width="1.7109375" style="16" customWidth="1"/>
    <col min="7" max="7" width="11.7109375" style="16" customWidth="1"/>
    <col min="8" max="8" width="1.7109375" style="16" customWidth="1"/>
    <col min="9" max="9" width="11.7109375" style="16" customWidth="1"/>
    <col min="10" max="10" width="1.7109375" style="16" customWidth="1"/>
    <col min="11" max="11" width="10.7109375" style="16" customWidth="1"/>
    <col min="12" max="12" width="1.7109375" style="16" customWidth="1"/>
    <col min="13" max="13" width="10.7109375" style="16" customWidth="1"/>
    <col min="14" max="14" width="1.7109375" style="16" customWidth="1"/>
    <col min="15" max="15" width="11.7109375" style="16" customWidth="1"/>
    <col min="16" max="16" width="1.7109375" style="16" customWidth="1"/>
    <col min="17" max="17" width="11.7109375" style="16" customWidth="1"/>
    <col min="18" max="18" width="1.7109375" style="16" customWidth="1"/>
    <col min="19" max="19" width="11.7109375" style="16" customWidth="1"/>
    <col min="20" max="20" width="1.7109375" style="16" customWidth="1"/>
    <col min="21" max="21" width="11.7109375" style="16" customWidth="1"/>
    <col min="22" max="22" width="1.7109375" style="16" customWidth="1"/>
    <col min="23" max="23" width="11.7109375" style="16" customWidth="1"/>
    <col min="24" max="24" width="1.7109375" style="16" customWidth="1"/>
    <col min="25" max="25" width="11.7109375" style="20" customWidth="1"/>
    <col min="26" max="26" width="1.7109375" style="20" customWidth="1"/>
    <col min="27" max="27" width="11.7109375" style="20" customWidth="1"/>
    <col min="28" max="28" width="1.7109375" style="20" customWidth="1"/>
    <col min="29" max="29" width="11.7109375" style="20" customWidth="1"/>
    <col min="30" max="30" width="1.7109375" style="16" customWidth="1"/>
    <col min="31" max="31" width="11.7109375" style="16" customWidth="1"/>
    <col min="32" max="32" width="10.7109375" style="1" customWidth="1"/>
    <col min="33" max="16384" width="9.140625" style="1" customWidth="1"/>
  </cols>
  <sheetData>
    <row r="1" spans="1:5" ht="12.75" customHeight="1">
      <c r="A1" s="6" t="s">
        <v>1</v>
      </c>
      <c r="E1" s="19"/>
    </row>
    <row r="2" spans="1:5" ht="12.75" customHeight="1">
      <c r="A2" s="6" t="s">
        <v>60</v>
      </c>
      <c r="E2" s="19"/>
    </row>
    <row r="3" spans="25:29" ht="12" customHeight="1">
      <c r="Y3" s="21"/>
      <c r="Z3" s="21"/>
      <c r="AA3" s="21"/>
      <c r="AB3" s="21"/>
      <c r="AC3" s="21"/>
    </row>
    <row r="4" spans="1:31" ht="12.75" customHeight="1">
      <c r="A4" s="6" t="s">
        <v>785</v>
      </c>
      <c r="AE4" s="22"/>
    </row>
    <row r="5" spans="3:31" s="6" customFormat="1" ht="12.75" customHeight="1">
      <c r="C5" s="5"/>
      <c r="D5" s="5"/>
      <c r="E5" s="22" t="s">
        <v>10</v>
      </c>
      <c r="F5" s="22"/>
      <c r="G5" s="16"/>
      <c r="H5" s="16"/>
      <c r="I5" s="22"/>
      <c r="J5" s="22"/>
      <c r="K5" s="22"/>
      <c r="L5" s="22"/>
      <c r="M5" s="22"/>
      <c r="N5" s="22"/>
      <c r="O5" s="21"/>
      <c r="P5" s="22"/>
      <c r="Q5" s="22"/>
      <c r="R5" s="22"/>
      <c r="S5" s="22"/>
      <c r="T5" s="22"/>
      <c r="U5" s="16"/>
      <c r="V5" s="16"/>
      <c r="W5" s="22" t="s">
        <v>27</v>
      </c>
      <c r="X5" s="22"/>
      <c r="Y5" s="19"/>
      <c r="Z5" s="19"/>
      <c r="AA5" s="19"/>
      <c r="AB5" s="19"/>
      <c r="AC5" s="22" t="s">
        <v>30</v>
      </c>
      <c r="AD5" s="19"/>
      <c r="AE5" s="22"/>
    </row>
    <row r="6" spans="1:31" s="6" customFormat="1" ht="12.75" customHeight="1">
      <c r="A6" s="5"/>
      <c r="C6" s="5"/>
      <c r="D6" s="5"/>
      <c r="E6" s="22" t="s">
        <v>12</v>
      </c>
      <c r="F6" s="22"/>
      <c r="G6" s="22" t="s">
        <v>14</v>
      </c>
      <c r="H6" s="22"/>
      <c r="I6" s="22" t="s">
        <v>16</v>
      </c>
      <c r="J6" s="22"/>
      <c r="K6" s="22" t="s">
        <v>18</v>
      </c>
      <c r="L6" s="22"/>
      <c r="M6" s="22" t="s">
        <v>20</v>
      </c>
      <c r="N6" s="22"/>
      <c r="O6" s="21"/>
      <c r="P6" s="22"/>
      <c r="Q6" s="22" t="s">
        <v>22</v>
      </c>
      <c r="R6" s="22"/>
      <c r="S6" s="22" t="s">
        <v>24</v>
      </c>
      <c r="T6" s="22"/>
      <c r="U6" s="22" t="s">
        <v>26</v>
      </c>
      <c r="V6" s="16"/>
      <c r="W6" s="22" t="s">
        <v>29</v>
      </c>
      <c r="X6" s="22"/>
      <c r="Y6" s="19"/>
      <c r="Z6" s="19"/>
      <c r="AA6" s="19"/>
      <c r="AB6" s="19"/>
      <c r="AC6" s="22" t="s">
        <v>32</v>
      </c>
      <c r="AD6" s="19"/>
      <c r="AE6" s="22" t="s">
        <v>50</v>
      </c>
    </row>
    <row r="7" spans="1:31" ht="12.75" customHeight="1">
      <c r="A7" s="4" t="s">
        <v>9</v>
      </c>
      <c r="C7" s="4" t="s">
        <v>8</v>
      </c>
      <c r="D7" s="9"/>
      <c r="E7" s="25" t="s">
        <v>11</v>
      </c>
      <c r="F7" s="22"/>
      <c r="G7" s="25" t="s">
        <v>13</v>
      </c>
      <c r="H7" s="22"/>
      <c r="I7" s="25" t="s">
        <v>15</v>
      </c>
      <c r="J7" s="22"/>
      <c r="K7" s="25" t="s">
        <v>17</v>
      </c>
      <c r="L7" s="22"/>
      <c r="M7" s="25" t="s">
        <v>19</v>
      </c>
      <c r="N7" s="22"/>
      <c r="O7" s="25" t="s">
        <v>7</v>
      </c>
      <c r="P7" s="22"/>
      <c r="Q7" s="25" t="s">
        <v>21</v>
      </c>
      <c r="R7" s="22"/>
      <c r="S7" s="25" t="s">
        <v>23</v>
      </c>
      <c r="T7" s="22"/>
      <c r="U7" s="25" t="s">
        <v>25</v>
      </c>
      <c r="V7" s="22"/>
      <c r="W7" s="25" t="s">
        <v>28</v>
      </c>
      <c r="X7" s="22"/>
      <c r="Y7" s="25" t="s">
        <v>62</v>
      </c>
      <c r="Z7" s="22"/>
      <c r="AA7" s="25" t="s">
        <v>63</v>
      </c>
      <c r="AB7" s="22"/>
      <c r="AC7" s="25" t="s">
        <v>31</v>
      </c>
      <c r="AD7" s="22"/>
      <c r="AE7" s="25" t="s">
        <v>0</v>
      </c>
    </row>
    <row r="8" spans="1:31" ht="12.75" customHeight="1">
      <c r="A8" s="1" t="s">
        <v>472</v>
      </c>
      <c r="C8" s="1" t="s">
        <v>246</v>
      </c>
      <c r="E8" s="39">
        <v>161046</v>
      </c>
      <c r="F8" s="39"/>
      <c r="G8" s="39">
        <v>0</v>
      </c>
      <c r="H8" s="39"/>
      <c r="I8" s="39">
        <v>1822</v>
      </c>
      <c r="J8" s="39"/>
      <c r="K8" s="39">
        <v>0</v>
      </c>
      <c r="L8" s="39"/>
      <c r="M8" s="39">
        <v>97315</v>
      </c>
      <c r="N8" s="39"/>
      <c r="O8" s="39">
        <v>0</v>
      </c>
      <c r="P8" s="39"/>
      <c r="Q8" s="39">
        <v>78359</v>
      </c>
      <c r="R8" s="39"/>
      <c r="S8" s="39">
        <v>0</v>
      </c>
      <c r="T8" s="39"/>
      <c r="U8" s="39">
        <v>0</v>
      </c>
      <c r="V8" s="39"/>
      <c r="W8" s="39">
        <v>0</v>
      </c>
      <c r="X8" s="39"/>
      <c r="Y8" s="39">
        <v>0</v>
      </c>
      <c r="Z8" s="38"/>
      <c r="AA8" s="39">
        <v>0</v>
      </c>
      <c r="AB8" s="39"/>
      <c r="AC8" s="39">
        <v>0</v>
      </c>
      <c r="AD8" s="39"/>
      <c r="AE8" s="40">
        <f aca="true" t="shared" si="0" ref="AE8:AE72">SUM(E8:AC8)</f>
        <v>338542</v>
      </c>
    </row>
    <row r="9" spans="1:31" ht="12.75" customHeight="1">
      <c r="A9" s="1" t="s">
        <v>64</v>
      </c>
      <c r="C9" s="1" t="s">
        <v>65</v>
      </c>
      <c r="D9" s="9"/>
      <c r="E9" s="34">
        <v>567739</v>
      </c>
      <c r="F9" s="34"/>
      <c r="G9" s="34">
        <v>21483</v>
      </c>
      <c r="H9" s="34"/>
      <c r="I9" s="34">
        <v>7129</v>
      </c>
      <c r="J9" s="34"/>
      <c r="K9" s="34">
        <v>18161</v>
      </c>
      <c r="L9" s="34"/>
      <c r="M9" s="34">
        <v>425</v>
      </c>
      <c r="N9" s="34"/>
      <c r="O9" s="34">
        <v>222501</v>
      </c>
      <c r="P9" s="34"/>
      <c r="Q9" s="34">
        <v>206535</v>
      </c>
      <c r="R9" s="34"/>
      <c r="S9" s="34">
        <v>157844</v>
      </c>
      <c r="T9" s="34"/>
      <c r="U9" s="34">
        <v>0</v>
      </c>
      <c r="V9" s="34"/>
      <c r="W9" s="34">
        <v>19760</v>
      </c>
      <c r="X9" s="34"/>
      <c r="Y9" s="34">
        <v>954907</v>
      </c>
      <c r="Z9" s="34"/>
      <c r="AA9" s="34">
        <v>0</v>
      </c>
      <c r="AB9" s="34"/>
      <c r="AC9" s="34">
        <v>0</v>
      </c>
      <c r="AD9" s="34"/>
      <c r="AE9" s="33">
        <f t="shared" si="0"/>
        <v>2176484</v>
      </c>
    </row>
    <row r="10" spans="1:31" ht="12.75" customHeight="1">
      <c r="A10" s="1" t="s">
        <v>66</v>
      </c>
      <c r="C10" s="1" t="s">
        <v>67</v>
      </c>
      <c r="E10" s="34">
        <v>800</v>
      </c>
      <c r="F10" s="34"/>
      <c r="G10" s="34">
        <v>0</v>
      </c>
      <c r="H10" s="34"/>
      <c r="I10" s="34">
        <v>87</v>
      </c>
      <c r="J10" s="34"/>
      <c r="K10" s="34">
        <v>223</v>
      </c>
      <c r="L10" s="34"/>
      <c r="M10" s="34">
        <v>1067</v>
      </c>
      <c r="N10" s="34"/>
      <c r="O10" s="34">
        <v>0</v>
      </c>
      <c r="P10" s="34"/>
      <c r="Q10" s="34">
        <v>11259</v>
      </c>
      <c r="R10" s="34"/>
      <c r="S10" s="34">
        <v>0</v>
      </c>
      <c r="T10" s="34"/>
      <c r="U10" s="34">
        <v>0</v>
      </c>
      <c r="V10" s="34"/>
      <c r="W10" s="34">
        <v>0</v>
      </c>
      <c r="X10" s="34"/>
      <c r="Y10" s="34">
        <v>0</v>
      </c>
      <c r="Z10" s="34"/>
      <c r="AA10" s="34">
        <v>0</v>
      </c>
      <c r="AB10" s="32"/>
      <c r="AC10" s="34">
        <v>0</v>
      </c>
      <c r="AD10" s="34"/>
      <c r="AE10" s="33">
        <f t="shared" si="0"/>
        <v>13436</v>
      </c>
    </row>
    <row r="11" spans="1:31" ht="12.75" customHeight="1">
      <c r="A11" s="1" t="s">
        <v>563</v>
      </c>
      <c r="C11" s="1" t="s">
        <v>73</v>
      </c>
      <c r="E11" s="34">
        <v>264662</v>
      </c>
      <c r="F11" s="34"/>
      <c r="G11" s="34">
        <v>0</v>
      </c>
      <c r="H11" s="34"/>
      <c r="I11" s="34">
        <v>19351</v>
      </c>
      <c r="J11" s="34"/>
      <c r="K11" s="34">
        <v>0</v>
      </c>
      <c r="L11" s="34"/>
      <c r="M11" s="34">
        <v>10422</v>
      </c>
      <c r="N11" s="34"/>
      <c r="O11" s="34">
        <v>109777</v>
      </c>
      <c r="P11" s="34"/>
      <c r="Q11" s="34">
        <v>316507</v>
      </c>
      <c r="R11" s="34"/>
      <c r="S11" s="34">
        <v>0</v>
      </c>
      <c r="T11" s="34"/>
      <c r="U11" s="34">
        <v>0</v>
      </c>
      <c r="V11" s="34"/>
      <c r="W11" s="34">
        <v>0</v>
      </c>
      <c r="X11" s="34"/>
      <c r="Y11" s="34">
        <v>0</v>
      </c>
      <c r="Z11" s="32"/>
      <c r="AA11" s="34">
        <v>0</v>
      </c>
      <c r="AB11" s="34"/>
      <c r="AC11" s="34">
        <v>13058</v>
      </c>
      <c r="AD11" s="34"/>
      <c r="AE11" s="33">
        <f t="shared" si="0"/>
        <v>733777</v>
      </c>
    </row>
    <row r="12" spans="1:31" ht="12.75" customHeight="1">
      <c r="A12" s="1" t="s">
        <v>711</v>
      </c>
      <c r="C12" s="1" t="s">
        <v>712</v>
      </c>
      <c r="E12" s="34">
        <v>4423</v>
      </c>
      <c r="F12" s="34"/>
      <c r="G12" s="34">
        <v>0</v>
      </c>
      <c r="H12" s="34"/>
      <c r="I12" s="34">
        <v>0</v>
      </c>
      <c r="J12" s="34"/>
      <c r="K12" s="34">
        <v>0</v>
      </c>
      <c r="L12" s="34"/>
      <c r="M12" s="34">
        <v>0</v>
      </c>
      <c r="N12" s="34"/>
      <c r="O12" s="34">
        <v>0</v>
      </c>
      <c r="P12" s="34"/>
      <c r="Q12" s="34">
        <v>48146</v>
      </c>
      <c r="R12" s="34"/>
      <c r="S12" s="34">
        <v>6500</v>
      </c>
      <c r="T12" s="34"/>
      <c r="U12" s="34">
        <v>1732</v>
      </c>
      <c r="V12" s="34"/>
      <c r="W12" s="34">
        <v>0</v>
      </c>
      <c r="X12" s="34"/>
      <c r="Y12" s="34">
        <v>0</v>
      </c>
      <c r="Z12" s="32"/>
      <c r="AA12" s="34">
        <v>1301</v>
      </c>
      <c r="AB12" s="34"/>
      <c r="AC12" s="34">
        <v>0</v>
      </c>
      <c r="AD12" s="34"/>
      <c r="AE12" s="33">
        <f t="shared" si="0"/>
        <v>62102</v>
      </c>
    </row>
    <row r="13" spans="1:31" ht="12.75" customHeight="1">
      <c r="A13" s="1" t="s">
        <v>68</v>
      </c>
      <c r="C13" s="1" t="s">
        <v>69</v>
      </c>
      <c r="E13" s="34">
        <v>10137</v>
      </c>
      <c r="F13" s="34"/>
      <c r="G13" s="34">
        <v>740</v>
      </c>
      <c r="H13" s="34"/>
      <c r="I13" s="34">
        <v>0</v>
      </c>
      <c r="J13" s="34"/>
      <c r="K13" s="34">
        <v>0</v>
      </c>
      <c r="L13" s="34"/>
      <c r="M13" s="34">
        <v>0</v>
      </c>
      <c r="N13" s="34"/>
      <c r="O13" s="34">
        <v>0</v>
      </c>
      <c r="P13" s="34"/>
      <c r="Q13" s="34">
        <v>51767</v>
      </c>
      <c r="R13" s="34"/>
      <c r="S13" s="34">
        <v>0</v>
      </c>
      <c r="T13" s="34"/>
      <c r="U13" s="34">
        <v>0</v>
      </c>
      <c r="V13" s="34"/>
      <c r="W13" s="34">
        <v>0</v>
      </c>
      <c r="X13" s="34"/>
      <c r="Y13" s="34">
        <v>4000</v>
      </c>
      <c r="Z13" s="34"/>
      <c r="AA13" s="34">
        <v>0</v>
      </c>
      <c r="AB13" s="32"/>
      <c r="AC13" s="34">
        <v>20691</v>
      </c>
      <c r="AD13" s="34"/>
      <c r="AE13" s="33">
        <f t="shared" si="0"/>
        <v>87335</v>
      </c>
    </row>
    <row r="14" spans="1:31" ht="12.75" customHeight="1">
      <c r="A14" s="1" t="s">
        <v>70</v>
      </c>
      <c r="C14" s="1" t="s">
        <v>71</v>
      </c>
      <c r="E14" s="34">
        <v>18207</v>
      </c>
      <c r="F14" s="34"/>
      <c r="G14" s="34">
        <v>0</v>
      </c>
      <c r="H14" s="34"/>
      <c r="I14" s="34">
        <v>0</v>
      </c>
      <c r="J14" s="34"/>
      <c r="K14" s="34">
        <v>0</v>
      </c>
      <c r="L14" s="34"/>
      <c r="M14" s="34">
        <v>18529</v>
      </c>
      <c r="N14" s="34"/>
      <c r="O14" s="34">
        <v>78317</v>
      </c>
      <c r="P14" s="34"/>
      <c r="Q14" s="34">
        <v>61931</v>
      </c>
      <c r="R14" s="34"/>
      <c r="S14" s="34">
        <v>0</v>
      </c>
      <c r="T14" s="34"/>
      <c r="U14" s="34">
        <v>0</v>
      </c>
      <c r="V14" s="34"/>
      <c r="W14" s="34">
        <v>0</v>
      </c>
      <c r="X14" s="34"/>
      <c r="Y14" s="34">
        <v>0</v>
      </c>
      <c r="Z14" s="34"/>
      <c r="AA14" s="34">
        <v>0</v>
      </c>
      <c r="AB14" s="32"/>
      <c r="AC14" s="34">
        <v>0</v>
      </c>
      <c r="AD14" s="34"/>
      <c r="AE14" s="33">
        <f t="shared" si="0"/>
        <v>176984</v>
      </c>
    </row>
    <row r="15" spans="1:31" ht="12.75" customHeight="1">
      <c r="A15" s="1" t="s">
        <v>612</v>
      </c>
      <c r="C15" s="1" t="s">
        <v>231</v>
      </c>
      <c r="E15" s="34">
        <v>53258</v>
      </c>
      <c r="F15" s="34"/>
      <c r="G15" s="34">
        <v>0</v>
      </c>
      <c r="H15" s="34"/>
      <c r="I15" s="34">
        <v>0</v>
      </c>
      <c r="J15" s="34"/>
      <c r="K15" s="34">
        <v>612</v>
      </c>
      <c r="L15" s="34"/>
      <c r="M15" s="34">
        <v>0</v>
      </c>
      <c r="N15" s="34"/>
      <c r="O15" s="34">
        <v>0</v>
      </c>
      <c r="P15" s="34"/>
      <c r="Q15" s="34">
        <v>63776</v>
      </c>
      <c r="R15" s="34"/>
      <c r="S15" s="34">
        <v>176</v>
      </c>
      <c r="T15" s="34"/>
      <c r="U15" s="34">
        <v>0</v>
      </c>
      <c r="V15" s="34"/>
      <c r="W15" s="34">
        <v>0</v>
      </c>
      <c r="X15" s="34"/>
      <c r="Y15" s="34">
        <v>10000</v>
      </c>
      <c r="Z15" s="32"/>
      <c r="AA15" s="34">
        <v>0</v>
      </c>
      <c r="AB15" s="34"/>
      <c r="AC15" s="34">
        <v>1939</v>
      </c>
      <c r="AD15" s="34"/>
      <c r="AE15" s="33">
        <f t="shared" si="0"/>
        <v>129761</v>
      </c>
    </row>
    <row r="16" spans="1:31" ht="12.75" customHeight="1">
      <c r="A16" s="1" t="s">
        <v>764</v>
      </c>
      <c r="C16" s="1" t="s">
        <v>190</v>
      </c>
      <c r="E16" s="34">
        <v>0</v>
      </c>
      <c r="F16" s="34"/>
      <c r="G16" s="34">
        <v>416</v>
      </c>
      <c r="H16" s="34"/>
      <c r="I16" s="34">
        <v>0</v>
      </c>
      <c r="J16" s="34"/>
      <c r="K16" s="34">
        <v>0</v>
      </c>
      <c r="L16" s="34"/>
      <c r="M16" s="34">
        <v>1683</v>
      </c>
      <c r="N16" s="34"/>
      <c r="O16" s="34">
        <v>0</v>
      </c>
      <c r="P16" s="34"/>
      <c r="Q16" s="34">
        <v>26729</v>
      </c>
      <c r="R16" s="34"/>
      <c r="S16" s="34">
        <v>1435</v>
      </c>
      <c r="T16" s="34"/>
      <c r="U16" s="34">
        <v>0</v>
      </c>
      <c r="V16" s="34"/>
      <c r="W16" s="34">
        <v>0</v>
      </c>
      <c r="X16" s="34"/>
      <c r="Y16" s="34">
        <v>0</v>
      </c>
      <c r="Z16" s="32"/>
      <c r="AA16" s="34">
        <v>0</v>
      </c>
      <c r="AB16" s="34"/>
      <c r="AC16" s="34">
        <v>0</v>
      </c>
      <c r="AD16" s="34"/>
      <c r="AE16" s="33">
        <f t="shared" si="0"/>
        <v>30263</v>
      </c>
    </row>
    <row r="17" spans="1:31" ht="12.75" customHeight="1">
      <c r="A17" s="1" t="s">
        <v>530</v>
      </c>
      <c r="C17" s="1" t="s">
        <v>98</v>
      </c>
      <c r="E17" s="34">
        <v>8975</v>
      </c>
      <c r="F17" s="34"/>
      <c r="G17" s="34">
        <v>0</v>
      </c>
      <c r="H17" s="34"/>
      <c r="I17" s="34">
        <v>3565</v>
      </c>
      <c r="J17" s="34"/>
      <c r="K17" s="34">
        <v>50</v>
      </c>
      <c r="L17" s="34"/>
      <c r="M17" s="34">
        <v>57138</v>
      </c>
      <c r="N17" s="34"/>
      <c r="O17" s="34">
        <v>8305</v>
      </c>
      <c r="P17" s="34"/>
      <c r="Q17" s="34">
        <v>44586</v>
      </c>
      <c r="R17" s="34"/>
      <c r="S17" s="34">
        <v>0</v>
      </c>
      <c r="T17" s="34"/>
      <c r="U17" s="34">
        <v>0</v>
      </c>
      <c r="V17" s="34"/>
      <c r="W17" s="34">
        <v>0</v>
      </c>
      <c r="X17" s="34"/>
      <c r="Y17" s="34">
        <v>0</v>
      </c>
      <c r="Z17" s="32"/>
      <c r="AA17" s="34">
        <v>0</v>
      </c>
      <c r="AB17" s="34"/>
      <c r="AC17" s="34">
        <v>0</v>
      </c>
      <c r="AD17" s="34"/>
      <c r="AE17" s="33">
        <f t="shared" si="0"/>
        <v>122619</v>
      </c>
    </row>
    <row r="18" spans="1:31" ht="12.75" customHeight="1">
      <c r="A18" s="1" t="s">
        <v>72</v>
      </c>
      <c r="C18" s="1" t="s">
        <v>73</v>
      </c>
      <c r="E18" s="34">
        <v>2002260</v>
      </c>
      <c r="F18" s="34"/>
      <c r="G18" s="34">
        <v>78693</v>
      </c>
      <c r="H18" s="34"/>
      <c r="I18" s="34">
        <v>18991</v>
      </c>
      <c r="J18" s="34"/>
      <c r="K18" s="34">
        <v>59522</v>
      </c>
      <c r="L18" s="34"/>
      <c r="M18" s="34">
        <v>144124</v>
      </c>
      <c r="N18" s="34"/>
      <c r="O18" s="34">
        <v>656595</v>
      </c>
      <c r="P18" s="34"/>
      <c r="Q18" s="34">
        <v>746392</v>
      </c>
      <c r="R18" s="34"/>
      <c r="S18" s="34">
        <v>27978</v>
      </c>
      <c r="T18" s="34"/>
      <c r="U18" s="34">
        <v>0</v>
      </c>
      <c r="V18" s="34"/>
      <c r="W18" s="34">
        <v>0</v>
      </c>
      <c r="X18" s="34"/>
      <c r="Y18" s="34">
        <v>0</v>
      </c>
      <c r="Z18" s="34"/>
      <c r="AA18" s="34">
        <v>0</v>
      </c>
      <c r="AB18" s="32"/>
      <c r="AC18" s="34">
        <v>0</v>
      </c>
      <c r="AD18" s="34"/>
      <c r="AE18" s="33">
        <f t="shared" si="0"/>
        <v>3734555</v>
      </c>
    </row>
    <row r="19" spans="1:31" ht="12.75" customHeight="1">
      <c r="A19" s="1" t="s">
        <v>492</v>
      </c>
      <c r="C19" s="1" t="s">
        <v>102</v>
      </c>
      <c r="E19" s="34">
        <v>144804</v>
      </c>
      <c r="F19" s="34"/>
      <c r="G19" s="34">
        <v>9242</v>
      </c>
      <c r="H19" s="34"/>
      <c r="I19" s="34">
        <v>18921</v>
      </c>
      <c r="J19" s="34"/>
      <c r="K19" s="34">
        <v>2000</v>
      </c>
      <c r="L19" s="34"/>
      <c r="M19" s="34">
        <v>0</v>
      </c>
      <c r="N19" s="34"/>
      <c r="O19" s="34">
        <v>0</v>
      </c>
      <c r="P19" s="34"/>
      <c r="Q19" s="34">
        <v>221961</v>
      </c>
      <c r="R19" s="34"/>
      <c r="S19" s="34">
        <v>0</v>
      </c>
      <c r="T19" s="34"/>
      <c r="U19" s="34">
        <v>0</v>
      </c>
      <c r="V19" s="34"/>
      <c r="W19" s="34">
        <v>0</v>
      </c>
      <c r="X19" s="34"/>
      <c r="Y19" s="34">
        <v>24997</v>
      </c>
      <c r="Z19" s="32"/>
      <c r="AA19" s="34">
        <v>10440</v>
      </c>
      <c r="AB19" s="34"/>
      <c r="AC19" s="34">
        <v>0</v>
      </c>
      <c r="AD19" s="34"/>
      <c r="AE19" s="33">
        <f t="shared" si="0"/>
        <v>432365</v>
      </c>
    </row>
    <row r="20" spans="1:31" ht="12.75" customHeight="1">
      <c r="A20" s="1" t="s">
        <v>458</v>
      </c>
      <c r="C20" s="1" t="s">
        <v>71</v>
      </c>
      <c r="E20" s="34">
        <v>6889</v>
      </c>
      <c r="F20" s="34"/>
      <c r="G20" s="34">
        <v>309</v>
      </c>
      <c r="H20" s="34"/>
      <c r="I20" s="34">
        <v>0</v>
      </c>
      <c r="J20" s="34"/>
      <c r="K20" s="34">
        <v>0</v>
      </c>
      <c r="L20" s="34"/>
      <c r="M20" s="34">
        <v>0</v>
      </c>
      <c r="N20" s="34"/>
      <c r="O20" s="34">
        <v>0</v>
      </c>
      <c r="P20" s="34"/>
      <c r="Q20" s="34">
        <v>18440</v>
      </c>
      <c r="R20" s="34"/>
      <c r="S20" s="34">
        <v>0</v>
      </c>
      <c r="T20" s="34"/>
      <c r="U20" s="34">
        <v>0</v>
      </c>
      <c r="V20" s="34"/>
      <c r="W20" s="34">
        <v>0</v>
      </c>
      <c r="X20" s="34"/>
      <c r="Y20" s="34">
        <v>1131</v>
      </c>
      <c r="Z20" s="32"/>
      <c r="AA20" s="34">
        <v>0</v>
      </c>
      <c r="AB20" s="34"/>
      <c r="AC20" s="34">
        <v>0</v>
      </c>
      <c r="AD20" s="34"/>
      <c r="AE20" s="33">
        <f t="shared" si="0"/>
        <v>26769</v>
      </c>
    </row>
    <row r="21" spans="1:31" ht="12.75" customHeight="1">
      <c r="A21" s="1" t="s">
        <v>74</v>
      </c>
      <c r="C21" s="1" t="s">
        <v>69</v>
      </c>
      <c r="E21" s="34">
        <v>22180</v>
      </c>
      <c r="F21" s="34"/>
      <c r="G21" s="34">
        <v>481</v>
      </c>
      <c r="H21" s="34"/>
      <c r="I21" s="34">
        <v>0</v>
      </c>
      <c r="J21" s="34"/>
      <c r="K21" s="34">
        <v>0</v>
      </c>
      <c r="L21" s="34"/>
      <c r="M21" s="34">
        <v>0</v>
      </c>
      <c r="N21" s="34"/>
      <c r="O21" s="34">
        <v>0</v>
      </c>
      <c r="P21" s="34"/>
      <c r="Q21" s="34">
        <v>37406</v>
      </c>
      <c r="R21" s="34"/>
      <c r="S21" s="34">
        <v>0</v>
      </c>
      <c r="T21" s="34"/>
      <c r="U21" s="34">
        <v>0</v>
      </c>
      <c r="V21" s="34"/>
      <c r="W21" s="34">
        <v>0</v>
      </c>
      <c r="X21" s="34"/>
      <c r="Y21" s="34">
        <v>500</v>
      </c>
      <c r="Z21" s="34"/>
      <c r="AA21" s="34">
        <v>0</v>
      </c>
      <c r="AB21" s="32"/>
      <c r="AC21" s="34">
        <v>125</v>
      </c>
      <c r="AD21" s="34"/>
      <c r="AE21" s="33">
        <f t="shared" si="0"/>
        <v>60692</v>
      </c>
    </row>
    <row r="22" spans="1:31" ht="12.75" customHeight="1">
      <c r="A22" s="1" t="s">
        <v>75</v>
      </c>
      <c r="C22" s="30" t="s">
        <v>76</v>
      </c>
      <c r="E22" s="34">
        <v>207844</v>
      </c>
      <c r="F22" s="34"/>
      <c r="G22" s="34">
        <v>12953</v>
      </c>
      <c r="H22" s="34"/>
      <c r="I22" s="34">
        <v>21227</v>
      </c>
      <c r="J22" s="34"/>
      <c r="K22" s="34">
        <v>12404</v>
      </c>
      <c r="L22" s="34"/>
      <c r="M22" s="34">
        <v>1323</v>
      </c>
      <c r="N22" s="34"/>
      <c r="O22" s="34">
        <v>3030</v>
      </c>
      <c r="P22" s="34"/>
      <c r="Q22" s="34">
        <v>173161</v>
      </c>
      <c r="R22" s="34"/>
      <c r="S22" s="34">
        <v>46703</v>
      </c>
      <c r="T22" s="34"/>
      <c r="U22" s="34">
        <v>0</v>
      </c>
      <c r="V22" s="34"/>
      <c r="W22" s="34">
        <v>0</v>
      </c>
      <c r="X22" s="34"/>
      <c r="Y22" s="34">
        <v>0</v>
      </c>
      <c r="Z22" s="34"/>
      <c r="AA22" s="34">
        <v>0</v>
      </c>
      <c r="AB22" s="32"/>
      <c r="AC22" s="34">
        <v>0</v>
      </c>
      <c r="AD22" s="34"/>
      <c r="AE22" s="33">
        <f t="shared" si="0"/>
        <v>478645</v>
      </c>
    </row>
    <row r="23" spans="1:31" ht="12.75" customHeight="1">
      <c r="A23" s="1" t="s">
        <v>726</v>
      </c>
      <c r="C23" s="1" t="s">
        <v>131</v>
      </c>
      <c r="E23" s="34">
        <v>155335</v>
      </c>
      <c r="F23" s="34"/>
      <c r="G23" s="34">
        <v>3036</v>
      </c>
      <c r="H23" s="34"/>
      <c r="I23" s="34">
        <v>1200</v>
      </c>
      <c r="J23" s="34"/>
      <c r="K23" s="34">
        <v>263</v>
      </c>
      <c r="L23" s="34"/>
      <c r="M23" s="34">
        <v>0</v>
      </c>
      <c r="N23" s="34"/>
      <c r="O23" s="34">
        <v>70045</v>
      </c>
      <c r="P23" s="34"/>
      <c r="Q23" s="34">
        <v>91474</v>
      </c>
      <c r="R23" s="34"/>
      <c r="S23" s="34">
        <v>0</v>
      </c>
      <c r="T23" s="34"/>
      <c r="U23" s="34">
        <v>0</v>
      </c>
      <c r="V23" s="34"/>
      <c r="W23" s="34">
        <v>0</v>
      </c>
      <c r="X23" s="34"/>
      <c r="Y23" s="34">
        <v>10351</v>
      </c>
      <c r="Z23" s="32"/>
      <c r="AA23" s="34">
        <v>0</v>
      </c>
      <c r="AB23" s="34"/>
      <c r="AC23" s="34">
        <v>0</v>
      </c>
      <c r="AD23" s="34"/>
      <c r="AE23" s="33">
        <f t="shared" si="0"/>
        <v>331704</v>
      </c>
    </row>
    <row r="24" spans="1:31" ht="12.75" customHeight="1">
      <c r="A24" s="1" t="s">
        <v>77</v>
      </c>
      <c r="C24" s="1" t="s">
        <v>78</v>
      </c>
      <c r="E24" s="34">
        <v>129287</v>
      </c>
      <c r="F24" s="34"/>
      <c r="G24" s="34">
        <v>11951</v>
      </c>
      <c r="H24" s="34"/>
      <c r="I24" s="34">
        <v>4819</v>
      </c>
      <c r="J24" s="34"/>
      <c r="K24" s="34">
        <v>385</v>
      </c>
      <c r="L24" s="34"/>
      <c r="M24" s="34">
        <v>0</v>
      </c>
      <c r="N24" s="34"/>
      <c r="O24" s="34">
        <v>1</v>
      </c>
      <c r="P24" s="34"/>
      <c r="Q24" s="34">
        <v>170197</v>
      </c>
      <c r="R24" s="34"/>
      <c r="S24" s="34">
        <v>67077</v>
      </c>
      <c r="T24" s="34"/>
      <c r="U24" s="34">
        <v>0</v>
      </c>
      <c r="V24" s="34"/>
      <c r="W24" s="34">
        <v>0</v>
      </c>
      <c r="X24" s="34"/>
      <c r="Y24" s="34">
        <v>16537</v>
      </c>
      <c r="Z24" s="34"/>
      <c r="AA24" s="34">
        <v>0</v>
      </c>
      <c r="AB24" s="32"/>
      <c r="AC24" s="34">
        <v>3193</v>
      </c>
      <c r="AD24" s="34"/>
      <c r="AE24" s="33">
        <f t="shared" si="0"/>
        <v>403447</v>
      </c>
    </row>
    <row r="25" spans="1:31" ht="12.75" customHeight="1">
      <c r="A25" s="1" t="s">
        <v>79</v>
      </c>
      <c r="C25" s="1" t="s">
        <v>80</v>
      </c>
      <c r="E25" s="34">
        <v>2112</v>
      </c>
      <c r="F25" s="34"/>
      <c r="G25" s="34">
        <v>588</v>
      </c>
      <c r="H25" s="34"/>
      <c r="I25" s="34">
        <v>22</v>
      </c>
      <c r="J25" s="34"/>
      <c r="K25" s="34">
        <v>0</v>
      </c>
      <c r="L25" s="34"/>
      <c r="M25" s="34">
        <v>0</v>
      </c>
      <c r="N25" s="34"/>
      <c r="O25" s="34">
        <v>0</v>
      </c>
      <c r="P25" s="34"/>
      <c r="Q25" s="34">
        <v>3608</v>
      </c>
      <c r="R25" s="34"/>
      <c r="S25" s="34">
        <v>0</v>
      </c>
      <c r="T25" s="34"/>
      <c r="U25" s="34">
        <v>0</v>
      </c>
      <c r="V25" s="34"/>
      <c r="W25" s="34">
        <v>0</v>
      </c>
      <c r="X25" s="34"/>
      <c r="Y25" s="34">
        <v>0</v>
      </c>
      <c r="Z25" s="34"/>
      <c r="AA25" s="34">
        <v>0</v>
      </c>
      <c r="AB25" s="32"/>
      <c r="AC25" s="34">
        <v>0</v>
      </c>
      <c r="AD25" s="34"/>
      <c r="AE25" s="33">
        <f t="shared" si="0"/>
        <v>6330</v>
      </c>
    </row>
    <row r="26" spans="1:31" ht="12.75" customHeight="1">
      <c r="A26" s="1" t="s">
        <v>81</v>
      </c>
      <c r="C26" s="1" t="s">
        <v>82</v>
      </c>
      <c r="E26" s="34">
        <v>904</v>
      </c>
      <c r="F26" s="34"/>
      <c r="G26" s="34">
        <v>0</v>
      </c>
      <c r="H26" s="34"/>
      <c r="I26" s="34">
        <v>11621</v>
      </c>
      <c r="J26" s="34"/>
      <c r="K26" s="34">
        <v>430</v>
      </c>
      <c r="L26" s="34"/>
      <c r="M26" s="34">
        <v>0</v>
      </c>
      <c r="N26" s="34"/>
      <c r="O26" s="34">
        <v>0</v>
      </c>
      <c r="P26" s="34"/>
      <c r="Q26" s="34">
        <v>117158</v>
      </c>
      <c r="R26" s="34"/>
      <c r="S26" s="34">
        <v>10218</v>
      </c>
      <c r="T26" s="34"/>
      <c r="U26" s="34">
        <v>0</v>
      </c>
      <c r="V26" s="34"/>
      <c r="W26" s="34">
        <v>0</v>
      </c>
      <c r="X26" s="34"/>
      <c r="Y26" s="34">
        <v>37105</v>
      </c>
      <c r="Z26" s="34"/>
      <c r="AA26" s="34">
        <v>0</v>
      </c>
      <c r="AB26" s="32"/>
      <c r="AC26" s="34">
        <v>0</v>
      </c>
      <c r="AD26" s="34"/>
      <c r="AE26" s="33">
        <f t="shared" si="0"/>
        <v>177436</v>
      </c>
    </row>
    <row r="27" spans="1:31" ht="12.75" customHeight="1">
      <c r="A27" s="1" t="s">
        <v>83</v>
      </c>
      <c r="C27" s="1" t="s">
        <v>84</v>
      </c>
      <c r="E27" s="34">
        <v>64701</v>
      </c>
      <c r="F27" s="34"/>
      <c r="G27" s="34">
        <v>2115</v>
      </c>
      <c r="H27" s="34"/>
      <c r="I27" s="34">
        <v>300</v>
      </c>
      <c r="J27" s="34"/>
      <c r="K27" s="34">
        <v>0</v>
      </c>
      <c r="L27" s="34"/>
      <c r="M27" s="34">
        <v>0</v>
      </c>
      <c r="N27" s="34"/>
      <c r="O27" s="34">
        <v>0</v>
      </c>
      <c r="P27" s="34"/>
      <c r="Q27" s="34">
        <v>110895</v>
      </c>
      <c r="R27" s="34"/>
      <c r="S27" s="34">
        <v>6588</v>
      </c>
      <c r="T27" s="34"/>
      <c r="U27" s="34">
        <v>0</v>
      </c>
      <c r="V27" s="34"/>
      <c r="W27" s="34">
        <v>0</v>
      </c>
      <c r="X27" s="34"/>
      <c r="Y27" s="34">
        <v>122500</v>
      </c>
      <c r="Z27" s="34"/>
      <c r="AA27" s="34">
        <v>0</v>
      </c>
      <c r="AB27" s="32"/>
      <c r="AC27" s="34">
        <v>0</v>
      </c>
      <c r="AD27" s="34"/>
      <c r="AE27" s="33">
        <f t="shared" si="0"/>
        <v>307099</v>
      </c>
    </row>
    <row r="28" spans="1:31" ht="12.75" customHeight="1">
      <c r="A28" s="1" t="s">
        <v>571</v>
      </c>
      <c r="C28" s="1" t="s">
        <v>114</v>
      </c>
      <c r="E28" s="34">
        <v>0</v>
      </c>
      <c r="F28" s="34"/>
      <c r="G28" s="34">
        <v>2673</v>
      </c>
      <c r="H28" s="34"/>
      <c r="I28" s="34">
        <v>1426</v>
      </c>
      <c r="J28" s="34"/>
      <c r="K28" s="34">
        <v>5505</v>
      </c>
      <c r="L28" s="34"/>
      <c r="M28" s="34">
        <v>0</v>
      </c>
      <c r="N28" s="34"/>
      <c r="O28" s="34">
        <v>335</v>
      </c>
      <c r="P28" s="34"/>
      <c r="Q28" s="34">
        <v>98622</v>
      </c>
      <c r="R28" s="34"/>
      <c r="S28" s="34">
        <v>11253</v>
      </c>
      <c r="T28" s="34"/>
      <c r="U28" s="34">
        <v>0</v>
      </c>
      <c r="V28" s="34"/>
      <c r="W28" s="34">
        <v>0</v>
      </c>
      <c r="X28" s="34"/>
      <c r="Y28" s="34">
        <v>54000</v>
      </c>
      <c r="Z28" s="32"/>
      <c r="AA28" s="34">
        <v>0</v>
      </c>
      <c r="AB28" s="34"/>
      <c r="AC28" s="34">
        <v>0</v>
      </c>
      <c r="AD28" s="34"/>
      <c r="AE28" s="33">
        <f t="shared" si="0"/>
        <v>173814</v>
      </c>
    </row>
    <row r="29" spans="1:31" ht="12.75" customHeight="1">
      <c r="A29" s="1" t="s">
        <v>85</v>
      </c>
      <c r="C29" s="1" t="s">
        <v>78</v>
      </c>
      <c r="E29" s="34">
        <v>272122</v>
      </c>
      <c r="F29" s="34"/>
      <c r="G29" s="34">
        <v>10316</v>
      </c>
      <c r="H29" s="34"/>
      <c r="I29" s="34">
        <v>11369</v>
      </c>
      <c r="J29" s="34"/>
      <c r="K29" s="34">
        <v>84912</v>
      </c>
      <c r="L29" s="34"/>
      <c r="M29" s="34">
        <v>0</v>
      </c>
      <c r="N29" s="34"/>
      <c r="O29" s="34">
        <v>0</v>
      </c>
      <c r="P29" s="34"/>
      <c r="Q29" s="34">
        <v>127670</v>
      </c>
      <c r="R29" s="34"/>
      <c r="S29" s="34">
        <v>3785</v>
      </c>
      <c r="T29" s="34"/>
      <c r="U29" s="34">
        <v>0</v>
      </c>
      <c r="V29" s="34"/>
      <c r="W29" s="34">
        <v>0</v>
      </c>
      <c r="X29" s="34"/>
      <c r="Y29" s="34">
        <v>92000</v>
      </c>
      <c r="Z29" s="34"/>
      <c r="AA29" s="34">
        <v>0</v>
      </c>
      <c r="AB29" s="32"/>
      <c r="AC29" s="34">
        <v>0</v>
      </c>
      <c r="AD29" s="34"/>
      <c r="AE29" s="33">
        <f t="shared" si="0"/>
        <v>602174</v>
      </c>
    </row>
    <row r="30" spans="1:31" ht="12.75" customHeight="1">
      <c r="A30" s="1" t="s">
        <v>86</v>
      </c>
      <c r="C30" s="1" t="s">
        <v>87</v>
      </c>
      <c r="E30" s="34">
        <v>1237495</v>
      </c>
      <c r="F30" s="34"/>
      <c r="G30" s="34">
        <v>16585</v>
      </c>
      <c r="H30" s="34"/>
      <c r="I30" s="34">
        <v>0</v>
      </c>
      <c r="J30" s="34"/>
      <c r="K30" s="34">
        <v>16862</v>
      </c>
      <c r="L30" s="34"/>
      <c r="M30" s="34">
        <v>254154</v>
      </c>
      <c r="N30" s="34"/>
      <c r="O30" s="34">
        <v>36680</v>
      </c>
      <c r="P30" s="34"/>
      <c r="Q30" s="34">
        <v>716862</v>
      </c>
      <c r="R30" s="34"/>
      <c r="S30" s="34">
        <v>0</v>
      </c>
      <c r="T30" s="34"/>
      <c r="U30" s="34">
        <v>0</v>
      </c>
      <c r="V30" s="34"/>
      <c r="W30" s="34">
        <v>0</v>
      </c>
      <c r="X30" s="34"/>
      <c r="Y30" s="34">
        <v>3925000</v>
      </c>
      <c r="Z30" s="34"/>
      <c r="AA30" s="34">
        <v>710</v>
      </c>
      <c r="AB30" s="32"/>
      <c r="AC30" s="34">
        <v>9176</v>
      </c>
      <c r="AD30" s="34"/>
      <c r="AE30" s="33">
        <f t="shared" si="0"/>
        <v>6213524</v>
      </c>
    </row>
    <row r="31" spans="1:31" ht="12.75" customHeight="1">
      <c r="A31" s="1" t="s">
        <v>572</v>
      </c>
      <c r="C31" s="1" t="s">
        <v>114</v>
      </c>
      <c r="E31" s="34">
        <v>23022</v>
      </c>
      <c r="F31" s="34"/>
      <c r="G31" s="34">
        <v>7622</v>
      </c>
      <c r="H31" s="34"/>
      <c r="I31" s="34">
        <v>0</v>
      </c>
      <c r="J31" s="34"/>
      <c r="K31" s="34">
        <v>0</v>
      </c>
      <c r="L31" s="34"/>
      <c r="M31" s="34">
        <v>0</v>
      </c>
      <c r="N31" s="34"/>
      <c r="O31" s="34">
        <v>8764</v>
      </c>
      <c r="P31" s="34"/>
      <c r="Q31" s="34">
        <v>97691</v>
      </c>
      <c r="R31" s="34"/>
      <c r="S31" s="34">
        <v>5684</v>
      </c>
      <c r="T31" s="34"/>
      <c r="U31" s="34">
        <v>0</v>
      </c>
      <c r="V31" s="34"/>
      <c r="W31" s="34">
        <v>0</v>
      </c>
      <c r="X31" s="34"/>
      <c r="Y31" s="34">
        <v>108200</v>
      </c>
      <c r="Z31" s="32"/>
      <c r="AA31" s="34">
        <v>6400</v>
      </c>
      <c r="AB31" s="34"/>
      <c r="AC31" s="34">
        <v>3254</v>
      </c>
      <c r="AD31" s="34"/>
      <c r="AE31" s="33">
        <f t="shared" si="0"/>
        <v>260637</v>
      </c>
    </row>
    <row r="32" spans="1:31" ht="12.75" customHeight="1">
      <c r="A32" s="1" t="s">
        <v>88</v>
      </c>
      <c r="C32" s="1" t="s">
        <v>73</v>
      </c>
      <c r="E32" s="34">
        <v>228739</v>
      </c>
      <c r="F32" s="34"/>
      <c r="G32" s="34">
        <v>0</v>
      </c>
      <c r="H32" s="34"/>
      <c r="I32" s="34">
        <v>1317</v>
      </c>
      <c r="J32" s="34"/>
      <c r="K32" s="34">
        <v>0</v>
      </c>
      <c r="L32" s="34"/>
      <c r="M32" s="34">
        <v>0</v>
      </c>
      <c r="N32" s="34"/>
      <c r="O32" s="34">
        <v>0</v>
      </c>
      <c r="P32" s="34"/>
      <c r="Q32" s="34">
        <v>389081</v>
      </c>
      <c r="R32" s="34"/>
      <c r="S32" s="34">
        <v>0</v>
      </c>
      <c r="T32" s="34"/>
      <c r="U32" s="34">
        <v>0</v>
      </c>
      <c r="V32" s="34"/>
      <c r="W32" s="34">
        <v>0</v>
      </c>
      <c r="X32" s="34"/>
      <c r="Y32" s="34">
        <v>1800</v>
      </c>
      <c r="Z32" s="34"/>
      <c r="AA32" s="34">
        <v>0</v>
      </c>
      <c r="AB32" s="32"/>
      <c r="AC32" s="34">
        <v>0</v>
      </c>
      <c r="AD32" s="34"/>
      <c r="AE32" s="33">
        <f t="shared" si="0"/>
        <v>620937</v>
      </c>
    </row>
    <row r="33" spans="1:31" ht="12.75" customHeight="1">
      <c r="A33" s="1" t="s">
        <v>89</v>
      </c>
      <c r="C33" s="1" t="s">
        <v>90</v>
      </c>
      <c r="E33" s="34">
        <v>92043</v>
      </c>
      <c r="F33" s="34"/>
      <c r="G33" s="34">
        <v>0</v>
      </c>
      <c r="H33" s="34"/>
      <c r="I33" s="34">
        <v>0</v>
      </c>
      <c r="J33" s="34"/>
      <c r="K33" s="34">
        <v>0</v>
      </c>
      <c r="L33" s="34"/>
      <c r="M33" s="34">
        <v>0</v>
      </c>
      <c r="N33" s="34"/>
      <c r="O33" s="34">
        <v>0</v>
      </c>
      <c r="P33" s="34"/>
      <c r="Q33" s="34">
        <f>79617+54041</f>
        <v>133658</v>
      </c>
      <c r="R33" s="34"/>
      <c r="S33" s="34">
        <v>38567</v>
      </c>
      <c r="T33" s="34"/>
      <c r="U33" s="34">
        <v>0</v>
      </c>
      <c r="V33" s="34"/>
      <c r="W33" s="34">
        <v>0</v>
      </c>
      <c r="X33" s="34"/>
      <c r="Y33" s="34">
        <v>0</v>
      </c>
      <c r="Z33" s="34"/>
      <c r="AA33" s="34">
        <v>0</v>
      </c>
      <c r="AB33" s="32"/>
      <c r="AC33" s="34">
        <v>0</v>
      </c>
      <c r="AD33" s="34"/>
      <c r="AE33" s="33">
        <f t="shared" si="0"/>
        <v>264268</v>
      </c>
    </row>
    <row r="34" spans="1:31" ht="12.75" customHeight="1">
      <c r="A34" s="1" t="s">
        <v>685</v>
      </c>
      <c r="C34" s="1" t="s">
        <v>184</v>
      </c>
      <c r="E34" s="34">
        <v>393930</v>
      </c>
      <c r="F34" s="34"/>
      <c r="G34" s="34">
        <v>11239</v>
      </c>
      <c r="H34" s="34"/>
      <c r="I34" s="34">
        <v>25282</v>
      </c>
      <c r="J34" s="34"/>
      <c r="K34" s="34">
        <v>5903</v>
      </c>
      <c r="L34" s="34"/>
      <c r="M34" s="34">
        <v>135689</v>
      </c>
      <c r="N34" s="34"/>
      <c r="O34" s="34">
        <v>108834</v>
      </c>
      <c r="P34" s="34"/>
      <c r="Q34" s="34">
        <v>208242</v>
      </c>
      <c r="R34" s="34"/>
      <c r="S34" s="34">
        <v>0</v>
      </c>
      <c r="T34" s="34"/>
      <c r="U34" s="34">
        <v>13619</v>
      </c>
      <c r="V34" s="34"/>
      <c r="W34" s="34">
        <v>1931</v>
      </c>
      <c r="X34" s="34"/>
      <c r="Y34" s="34">
        <v>2851</v>
      </c>
      <c r="Z34" s="32"/>
      <c r="AA34" s="34">
        <v>0</v>
      </c>
      <c r="AB34" s="34"/>
      <c r="AC34" s="34">
        <v>0</v>
      </c>
      <c r="AD34" s="34"/>
      <c r="AE34" s="33">
        <f t="shared" si="0"/>
        <v>907520</v>
      </c>
    </row>
    <row r="35" spans="1:31" ht="12.75" customHeight="1">
      <c r="A35" s="1" t="s">
        <v>722</v>
      </c>
      <c r="C35" s="1" t="s">
        <v>118</v>
      </c>
      <c r="E35" s="34">
        <v>12646</v>
      </c>
      <c r="F35" s="34"/>
      <c r="G35" s="34">
        <v>3841</v>
      </c>
      <c r="H35" s="34"/>
      <c r="I35" s="34">
        <v>0</v>
      </c>
      <c r="J35" s="34"/>
      <c r="K35" s="34">
        <v>0</v>
      </c>
      <c r="L35" s="34"/>
      <c r="M35" s="34">
        <v>0</v>
      </c>
      <c r="N35" s="34"/>
      <c r="O35" s="34">
        <v>0</v>
      </c>
      <c r="P35" s="34"/>
      <c r="Q35" s="34">
        <v>88593</v>
      </c>
      <c r="R35" s="34"/>
      <c r="S35" s="34">
        <v>0</v>
      </c>
      <c r="T35" s="34"/>
      <c r="U35" s="34">
        <v>8010</v>
      </c>
      <c r="V35" s="34"/>
      <c r="W35" s="34">
        <v>0</v>
      </c>
      <c r="X35" s="34"/>
      <c r="Y35" s="34">
        <v>38355</v>
      </c>
      <c r="Z35" s="32"/>
      <c r="AA35" s="34">
        <v>0</v>
      </c>
      <c r="AB35" s="34"/>
      <c r="AC35" s="34">
        <v>0</v>
      </c>
      <c r="AD35" s="34"/>
      <c r="AE35" s="33">
        <f t="shared" si="0"/>
        <v>151445</v>
      </c>
    </row>
    <row r="36" spans="1:31" ht="12.75" customHeight="1">
      <c r="A36" s="1" t="s">
        <v>91</v>
      </c>
      <c r="C36" s="30" t="s">
        <v>92</v>
      </c>
      <c r="E36" s="34">
        <v>9548</v>
      </c>
      <c r="F36" s="34"/>
      <c r="G36" s="34">
        <v>362</v>
      </c>
      <c r="H36" s="34"/>
      <c r="I36" s="34">
        <v>12293</v>
      </c>
      <c r="J36" s="34"/>
      <c r="K36" s="34">
        <v>2600</v>
      </c>
      <c r="L36" s="34"/>
      <c r="M36" s="34">
        <v>0</v>
      </c>
      <c r="N36" s="34"/>
      <c r="O36" s="34">
        <v>1481</v>
      </c>
      <c r="P36" s="34"/>
      <c r="Q36" s="34">
        <v>36445</v>
      </c>
      <c r="R36" s="34"/>
      <c r="S36" s="34">
        <v>248</v>
      </c>
      <c r="T36" s="34"/>
      <c r="U36" s="34">
        <v>0</v>
      </c>
      <c r="V36" s="34"/>
      <c r="W36" s="34">
        <v>0</v>
      </c>
      <c r="X36" s="34"/>
      <c r="Y36" s="34">
        <v>0</v>
      </c>
      <c r="Z36" s="34"/>
      <c r="AA36" s="34">
        <v>0</v>
      </c>
      <c r="AB36" s="32"/>
      <c r="AC36" s="34">
        <v>0</v>
      </c>
      <c r="AD36" s="34"/>
      <c r="AE36" s="33">
        <f t="shared" si="0"/>
        <v>62977</v>
      </c>
    </row>
    <row r="37" spans="1:31" ht="12.75" customHeight="1">
      <c r="A37" s="1" t="s">
        <v>713</v>
      </c>
      <c r="C37" s="1" t="s">
        <v>712</v>
      </c>
      <c r="E37" s="34">
        <v>23698</v>
      </c>
      <c r="F37" s="34"/>
      <c r="G37" s="34">
        <v>0</v>
      </c>
      <c r="H37" s="34"/>
      <c r="I37" s="34">
        <v>2807</v>
      </c>
      <c r="J37" s="34"/>
      <c r="K37" s="34">
        <v>0</v>
      </c>
      <c r="L37" s="34"/>
      <c r="M37" s="34">
        <v>0</v>
      </c>
      <c r="N37" s="34"/>
      <c r="O37" s="34">
        <v>0</v>
      </c>
      <c r="P37" s="34"/>
      <c r="Q37" s="34">
        <v>51885</v>
      </c>
      <c r="R37" s="34"/>
      <c r="S37" s="34">
        <v>6898</v>
      </c>
      <c r="T37" s="34"/>
      <c r="U37" s="34">
        <v>0</v>
      </c>
      <c r="V37" s="34"/>
      <c r="W37" s="34">
        <v>0</v>
      </c>
      <c r="X37" s="34"/>
      <c r="Y37" s="34">
        <v>0</v>
      </c>
      <c r="Z37" s="32"/>
      <c r="AA37" s="34">
        <v>0</v>
      </c>
      <c r="AB37" s="34"/>
      <c r="AC37" s="34">
        <v>0</v>
      </c>
      <c r="AD37" s="34"/>
      <c r="AE37" s="33">
        <f t="shared" si="0"/>
        <v>85288</v>
      </c>
    </row>
    <row r="38" spans="1:31" ht="12.75" customHeight="1">
      <c r="A38" s="1" t="s">
        <v>93</v>
      </c>
      <c r="C38" s="1" t="s">
        <v>94</v>
      </c>
      <c r="E38" s="34">
        <v>3971</v>
      </c>
      <c r="F38" s="34"/>
      <c r="G38" s="34">
        <v>49</v>
      </c>
      <c r="H38" s="34"/>
      <c r="I38" s="34">
        <v>0</v>
      </c>
      <c r="J38" s="34"/>
      <c r="K38" s="34">
        <v>0</v>
      </c>
      <c r="L38" s="34"/>
      <c r="M38" s="34">
        <v>0</v>
      </c>
      <c r="N38" s="34"/>
      <c r="O38" s="34">
        <v>0</v>
      </c>
      <c r="P38" s="34"/>
      <c r="Q38" s="34">
        <v>11760</v>
      </c>
      <c r="R38" s="34"/>
      <c r="S38" s="34">
        <v>0</v>
      </c>
      <c r="T38" s="34"/>
      <c r="U38" s="34">
        <v>0</v>
      </c>
      <c r="V38" s="34"/>
      <c r="W38" s="34">
        <v>0</v>
      </c>
      <c r="X38" s="34"/>
      <c r="Y38" s="34">
        <v>0</v>
      </c>
      <c r="Z38" s="34"/>
      <c r="AA38" s="34">
        <v>0</v>
      </c>
      <c r="AB38" s="32"/>
      <c r="AC38" s="34">
        <v>0</v>
      </c>
      <c r="AD38" s="34"/>
      <c r="AE38" s="33">
        <f t="shared" si="0"/>
        <v>15780</v>
      </c>
    </row>
    <row r="39" spans="1:31" ht="12.75" customHeight="1">
      <c r="A39" s="1" t="s">
        <v>95</v>
      </c>
      <c r="C39" s="1" t="s">
        <v>96</v>
      </c>
      <c r="E39" s="34">
        <v>21176</v>
      </c>
      <c r="F39" s="34"/>
      <c r="G39" s="34">
        <v>1627</v>
      </c>
      <c r="H39" s="34"/>
      <c r="I39" s="34">
        <v>13370</v>
      </c>
      <c r="J39" s="34"/>
      <c r="K39" s="34">
        <v>536</v>
      </c>
      <c r="L39" s="34"/>
      <c r="M39" s="34">
        <v>0</v>
      </c>
      <c r="N39" s="34"/>
      <c r="O39" s="34">
        <v>25244</v>
      </c>
      <c r="P39" s="34"/>
      <c r="Q39" s="34">
        <v>100834</v>
      </c>
      <c r="R39" s="34"/>
      <c r="S39" s="34">
        <v>9336</v>
      </c>
      <c r="T39" s="34"/>
      <c r="U39" s="34">
        <v>0</v>
      </c>
      <c r="V39" s="34"/>
      <c r="W39" s="34">
        <v>0</v>
      </c>
      <c r="X39" s="34"/>
      <c r="Y39" s="34">
        <v>0</v>
      </c>
      <c r="Z39" s="34"/>
      <c r="AA39" s="34">
        <v>0</v>
      </c>
      <c r="AB39" s="32"/>
      <c r="AC39" s="34">
        <v>0</v>
      </c>
      <c r="AD39" s="34"/>
      <c r="AE39" s="33">
        <f t="shared" si="0"/>
        <v>172123</v>
      </c>
    </row>
    <row r="40" spans="1:31" ht="12.75" customHeight="1">
      <c r="A40" s="1" t="s">
        <v>97</v>
      </c>
      <c r="C40" s="1" t="s">
        <v>98</v>
      </c>
      <c r="E40" s="34">
        <v>167689</v>
      </c>
      <c r="F40" s="34"/>
      <c r="G40" s="34">
        <v>18005</v>
      </c>
      <c r="H40" s="34"/>
      <c r="I40" s="34">
        <v>33077</v>
      </c>
      <c r="J40" s="34"/>
      <c r="K40" s="34">
        <v>35502</v>
      </c>
      <c r="L40" s="34"/>
      <c r="M40" s="34">
        <v>0</v>
      </c>
      <c r="N40" s="34"/>
      <c r="O40" s="34">
        <v>0</v>
      </c>
      <c r="P40" s="34"/>
      <c r="Q40" s="34">
        <v>152276</v>
      </c>
      <c r="R40" s="34"/>
      <c r="S40" s="34">
        <v>60814</v>
      </c>
      <c r="T40" s="34"/>
      <c r="U40" s="34">
        <v>0</v>
      </c>
      <c r="V40" s="34"/>
      <c r="W40" s="34">
        <v>0</v>
      </c>
      <c r="X40" s="34"/>
      <c r="Y40" s="34">
        <v>153000</v>
      </c>
      <c r="Z40" s="34"/>
      <c r="AA40" s="34">
        <v>0</v>
      </c>
      <c r="AB40" s="32"/>
      <c r="AC40" s="34">
        <v>625</v>
      </c>
      <c r="AD40" s="34"/>
      <c r="AE40" s="33">
        <f t="shared" si="0"/>
        <v>620988</v>
      </c>
    </row>
    <row r="41" spans="1:31" ht="12.75" customHeight="1">
      <c r="A41" s="1" t="s">
        <v>99</v>
      </c>
      <c r="C41" s="1" t="s">
        <v>100</v>
      </c>
      <c r="E41" s="34">
        <v>517700</v>
      </c>
      <c r="F41" s="34"/>
      <c r="G41" s="34">
        <v>13318</v>
      </c>
      <c r="H41" s="34"/>
      <c r="I41" s="34">
        <v>6433</v>
      </c>
      <c r="J41" s="34"/>
      <c r="K41" s="34">
        <v>1183</v>
      </c>
      <c r="L41" s="34"/>
      <c r="M41" s="34">
        <v>0</v>
      </c>
      <c r="N41" s="34"/>
      <c r="O41" s="34">
        <v>27485</v>
      </c>
      <c r="P41" s="34"/>
      <c r="Q41" s="34">
        <v>119523</v>
      </c>
      <c r="R41" s="34"/>
      <c r="S41" s="34">
        <v>0</v>
      </c>
      <c r="T41" s="34"/>
      <c r="U41" s="34">
        <v>0</v>
      </c>
      <c r="V41" s="34"/>
      <c r="W41" s="34">
        <v>0</v>
      </c>
      <c r="X41" s="34"/>
      <c r="Y41" s="34">
        <v>12000</v>
      </c>
      <c r="Z41" s="34"/>
      <c r="AA41" s="34">
        <v>0</v>
      </c>
      <c r="AB41" s="32"/>
      <c r="AC41" s="34">
        <v>0</v>
      </c>
      <c r="AD41" s="34"/>
      <c r="AE41" s="33">
        <f t="shared" si="0"/>
        <v>697642</v>
      </c>
    </row>
    <row r="42" spans="1:31" ht="12.75" customHeight="1">
      <c r="A42" s="1" t="s">
        <v>101</v>
      </c>
      <c r="C42" s="1" t="s">
        <v>102</v>
      </c>
      <c r="E42" s="34">
        <v>252397</v>
      </c>
      <c r="F42" s="34"/>
      <c r="G42" s="34">
        <v>15460</v>
      </c>
      <c r="H42" s="34"/>
      <c r="I42" s="34">
        <v>0</v>
      </c>
      <c r="J42" s="34"/>
      <c r="K42" s="34">
        <v>950</v>
      </c>
      <c r="L42" s="34"/>
      <c r="M42" s="34">
        <v>0</v>
      </c>
      <c r="N42" s="34"/>
      <c r="O42" s="34">
        <v>377</v>
      </c>
      <c r="P42" s="34"/>
      <c r="Q42" s="34">
        <v>172269</v>
      </c>
      <c r="R42" s="34"/>
      <c r="S42" s="34">
        <v>0</v>
      </c>
      <c r="T42" s="34"/>
      <c r="U42" s="34">
        <v>0</v>
      </c>
      <c r="V42" s="34"/>
      <c r="W42" s="34">
        <v>0</v>
      </c>
      <c r="X42" s="34"/>
      <c r="Y42" s="34">
        <v>0</v>
      </c>
      <c r="Z42" s="34"/>
      <c r="AA42" s="34">
        <v>0</v>
      </c>
      <c r="AB42" s="32"/>
      <c r="AC42" s="34">
        <v>1385</v>
      </c>
      <c r="AD42" s="34"/>
      <c r="AE42" s="33">
        <f t="shared" si="0"/>
        <v>442838</v>
      </c>
    </row>
    <row r="43" spans="1:31" ht="12.75" customHeight="1">
      <c r="A43" s="1" t="s">
        <v>103</v>
      </c>
      <c r="C43" s="1" t="s">
        <v>104</v>
      </c>
      <c r="E43" s="34">
        <v>2452</v>
      </c>
      <c r="F43" s="34"/>
      <c r="G43" s="34">
        <v>0</v>
      </c>
      <c r="H43" s="34"/>
      <c r="I43" s="34">
        <v>526</v>
      </c>
      <c r="J43" s="34"/>
      <c r="K43" s="34">
        <v>0</v>
      </c>
      <c r="L43" s="34"/>
      <c r="M43" s="34">
        <v>0</v>
      </c>
      <c r="N43" s="34"/>
      <c r="O43" s="34">
        <v>0</v>
      </c>
      <c r="P43" s="34"/>
      <c r="Q43" s="34">
        <v>10327</v>
      </c>
      <c r="R43" s="34"/>
      <c r="S43" s="34">
        <v>0</v>
      </c>
      <c r="T43" s="34"/>
      <c r="U43" s="34">
        <v>0</v>
      </c>
      <c r="V43" s="34"/>
      <c r="W43" s="34">
        <v>0</v>
      </c>
      <c r="X43" s="34"/>
      <c r="Y43" s="34">
        <v>0</v>
      </c>
      <c r="Z43" s="34"/>
      <c r="AA43" s="34">
        <v>0</v>
      </c>
      <c r="AB43" s="32"/>
      <c r="AC43" s="34">
        <v>0</v>
      </c>
      <c r="AD43" s="34"/>
      <c r="AE43" s="33">
        <f t="shared" si="0"/>
        <v>13305</v>
      </c>
    </row>
    <row r="44" spans="1:31" ht="12.75" customHeight="1">
      <c r="A44" s="1" t="s">
        <v>527</v>
      </c>
      <c r="C44" s="1" t="s">
        <v>261</v>
      </c>
      <c r="E44" s="34">
        <v>54441</v>
      </c>
      <c r="F44" s="34"/>
      <c r="G44" s="34">
        <v>0</v>
      </c>
      <c r="H44" s="34"/>
      <c r="I44" s="34">
        <v>5319</v>
      </c>
      <c r="J44" s="34"/>
      <c r="K44" s="34">
        <v>0</v>
      </c>
      <c r="L44" s="34"/>
      <c r="M44" s="34">
        <v>579</v>
      </c>
      <c r="N44" s="34"/>
      <c r="O44" s="34">
        <v>688</v>
      </c>
      <c r="P44" s="34"/>
      <c r="Q44" s="34">
        <v>106980</v>
      </c>
      <c r="R44" s="34"/>
      <c r="S44" s="34">
        <v>9038</v>
      </c>
      <c r="T44" s="34"/>
      <c r="U44" s="34">
        <v>0</v>
      </c>
      <c r="V44" s="34"/>
      <c r="W44" s="34">
        <v>0</v>
      </c>
      <c r="X44" s="34"/>
      <c r="Y44" s="34">
        <v>31139</v>
      </c>
      <c r="Z44" s="32"/>
      <c r="AA44" s="34">
        <v>0</v>
      </c>
      <c r="AB44" s="34"/>
      <c r="AC44" s="34">
        <v>0</v>
      </c>
      <c r="AD44" s="34"/>
      <c r="AE44" s="33">
        <f t="shared" si="0"/>
        <v>208184</v>
      </c>
    </row>
    <row r="45" spans="1:31" ht="12.75" customHeight="1">
      <c r="A45" s="1" t="s">
        <v>105</v>
      </c>
      <c r="C45" s="1" t="s">
        <v>106</v>
      </c>
      <c r="E45" s="34">
        <v>70094</v>
      </c>
      <c r="F45" s="34"/>
      <c r="G45" s="34">
        <v>0</v>
      </c>
      <c r="H45" s="34"/>
      <c r="I45" s="34">
        <v>1750</v>
      </c>
      <c r="J45" s="34"/>
      <c r="K45" s="34">
        <v>0</v>
      </c>
      <c r="L45" s="34"/>
      <c r="M45" s="34">
        <v>0</v>
      </c>
      <c r="N45" s="34"/>
      <c r="O45" s="34">
        <v>32922</v>
      </c>
      <c r="P45" s="34"/>
      <c r="Q45" s="34">
        <v>59920</v>
      </c>
      <c r="R45" s="34"/>
      <c r="S45" s="34">
        <v>8863</v>
      </c>
      <c r="T45" s="34"/>
      <c r="U45" s="34">
        <v>0</v>
      </c>
      <c r="V45" s="34"/>
      <c r="W45" s="34">
        <v>0</v>
      </c>
      <c r="X45" s="34"/>
      <c r="Y45" s="34">
        <v>0</v>
      </c>
      <c r="Z45" s="34"/>
      <c r="AA45" s="34">
        <v>0</v>
      </c>
      <c r="AB45" s="32"/>
      <c r="AC45" s="34">
        <v>3177</v>
      </c>
      <c r="AD45" s="34"/>
      <c r="AE45" s="33">
        <f t="shared" si="0"/>
        <v>176726</v>
      </c>
    </row>
    <row r="46" spans="1:31" ht="12.75" customHeight="1">
      <c r="A46" s="1" t="s">
        <v>658</v>
      </c>
      <c r="C46" s="1" t="s">
        <v>80</v>
      </c>
      <c r="E46" s="34">
        <v>7310</v>
      </c>
      <c r="F46" s="34"/>
      <c r="G46" s="34">
        <v>2644</v>
      </c>
      <c r="H46" s="34"/>
      <c r="I46" s="34">
        <v>917</v>
      </c>
      <c r="J46" s="34"/>
      <c r="K46" s="34">
        <v>5589</v>
      </c>
      <c r="L46" s="34"/>
      <c r="M46" s="34">
        <v>376</v>
      </c>
      <c r="N46" s="34"/>
      <c r="O46" s="34">
        <v>92</v>
      </c>
      <c r="P46" s="34"/>
      <c r="Q46" s="34">
        <v>18765</v>
      </c>
      <c r="R46" s="34"/>
      <c r="S46" s="34">
        <v>0</v>
      </c>
      <c r="T46" s="34"/>
      <c r="U46" s="34">
        <v>0</v>
      </c>
      <c r="V46" s="34"/>
      <c r="W46" s="34">
        <v>0</v>
      </c>
      <c r="X46" s="34"/>
      <c r="Y46" s="34">
        <v>0</v>
      </c>
      <c r="Z46" s="32"/>
      <c r="AA46" s="34">
        <v>0</v>
      </c>
      <c r="AB46" s="34"/>
      <c r="AC46" s="34">
        <v>0</v>
      </c>
      <c r="AD46" s="34"/>
      <c r="AE46" s="33">
        <f t="shared" si="0"/>
        <v>35693</v>
      </c>
    </row>
    <row r="47" spans="1:31" ht="12.75" customHeight="1">
      <c r="A47" s="1" t="s">
        <v>690</v>
      </c>
      <c r="C47" s="1" t="s">
        <v>353</v>
      </c>
      <c r="E47" s="34">
        <v>7943</v>
      </c>
      <c r="F47" s="34"/>
      <c r="G47" s="34">
        <v>62</v>
      </c>
      <c r="H47" s="34"/>
      <c r="I47" s="34">
        <v>0</v>
      </c>
      <c r="J47" s="34"/>
      <c r="K47" s="34">
        <v>0</v>
      </c>
      <c r="L47" s="34"/>
      <c r="M47" s="34">
        <v>0</v>
      </c>
      <c r="N47" s="34"/>
      <c r="O47" s="34">
        <v>0</v>
      </c>
      <c r="P47" s="34"/>
      <c r="Q47" s="34">
        <v>67784</v>
      </c>
      <c r="R47" s="34"/>
      <c r="S47" s="34">
        <v>0</v>
      </c>
      <c r="T47" s="34"/>
      <c r="U47" s="34">
        <v>0</v>
      </c>
      <c r="V47" s="34"/>
      <c r="W47" s="34">
        <v>1115</v>
      </c>
      <c r="X47" s="34"/>
      <c r="Y47" s="34">
        <v>0</v>
      </c>
      <c r="Z47" s="32"/>
      <c r="AA47" s="34">
        <v>0</v>
      </c>
      <c r="AB47" s="34"/>
      <c r="AC47" s="34">
        <v>0</v>
      </c>
      <c r="AD47" s="34"/>
      <c r="AE47" s="33">
        <f t="shared" si="0"/>
        <v>76904</v>
      </c>
    </row>
    <row r="48" spans="1:31" ht="12.75" customHeight="1">
      <c r="A48" s="1" t="s">
        <v>446</v>
      </c>
      <c r="C48" s="1" t="s">
        <v>447</v>
      </c>
      <c r="E48" s="34">
        <v>3573</v>
      </c>
      <c r="F48" s="34"/>
      <c r="G48" s="34">
        <v>751</v>
      </c>
      <c r="H48" s="34"/>
      <c r="I48" s="34">
        <v>1789</v>
      </c>
      <c r="J48" s="34"/>
      <c r="K48" s="34">
        <v>0</v>
      </c>
      <c r="L48" s="34"/>
      <c r="M48" s="34">
        <v>0</v>
      </c>
      <c r="N48" s="34"/>
      <c r="O48" s="34">
        <v>0</v>
      </c>
      <c r="P48" s="34"/>
      <c r="Q48" s="34">
        <v>35682</v>
      </c>
      <c r="R48" s="34"/>
      <c r="S48" s="34">
        <v>2763</v>
      </c>
      <c r="T48" s="34"/>
      <c r="U48" s="34">
        <v>0</v>
      </c>
      <c r="V48" s="34"/>
      <c r="W48" s="34">
        <v>0</v>
      </c>
      <c r="X48" s="34"/>
      <c r="Y48" s="34">
        <v>0</v>
      </c>
      <c r="Z48" s="32"/>
      <c r="AA48" s="34">
        <v>0</v>
      </c>
      <c r="AB48" s="34"/>
      <c r="AC48" s="34">
        <v>26</v>
      </c>
      <c r="AD48" s="34"/>
      <c r="AE48" s="33">
        <f t="shared" si="0"/>
        <v>44584</v>
      </c>
    </row>
    <row r="49" spans="1:31" ht="12.75" customHeight="1">
      <c r="A49" s="1" t="s">
        <v>107</v>
      </c>
      <c r="C49" s="1" t="s">
        <v>100</v>
      </c>
      <c r="E49" s="34">
        <v>767077</v>
      </c>
      <c r="F49" s="34"/>
      <c r="G49" s="34">
        <v>6011</v>
      </c>
      <c r="H49" s="34"/>
      <c r="I49" s="34">
        <v>74691</v>
      </c>
      <c r="J49" s="34"/>
      <c r="K49" s="34">
        <v>5176</v>
      </c>
      <c r="L49" s="34"/>
      <c r="M49" s="34">
        <v>0</v>
      </c>
      <c r="N49" s="34"/>
      <c r="O49" s="34">
        <v>0</v>
      </c>
      <c r="P49" s="34"/>
      <c r="Q49" s="34">
        <v>438520</v>
      </c>
      <c r="R49" s="34"/>
      <c r="S49" s="34">
        <v>0</v>
      </c>
      <c r="T49" s="34"/>
      <c r="U49" s="34">
        <v>0</v>
      </c>
      <c r="V49" s="34"/>
      <c r="W49" s="34">
        <v>0</v>
      </c>
      <c r="X49" s="34"/>
      <c r="Y49" s="34">
        <v>0</v>
      </c>
      <c r="Z49" s="34"/>
      <c r="AA49" s="34">
        <v>0</v>
      </c>
      <c r="AB49" s="32"/>
      <c r="AC49" s="34">
        <v>0</v>
      </c>
      <c r="AD49" s="34"/>
      <c r="AE49" s="33">
        <f t="shared" si="0"/>
        <v>1291475</v>
      </c>
    </row>
    <row r="50" spans="1:31" ht="12.75" customHeight="1">
      <c r="A50" s="1" t="s">
        <v>616</v>
      </c>
      <c r="C50" s="1" t="s">
        <v>369</v>
      </c>
      <c r="E50" s="34">
        <v>33357</v>
      </c>
      <c r="F50" s="34"/>
      <c r="G50" s="34">
        <v>0</v>
      </c>
      <c r="H50" s="34"/>
      <c r="I50" s="34">
        <v>5780</v>
      </c>
      <c r="J50" s="34"/>
      <c r="K50" s="34">
        <v>305</v>
      </c>
      <c r="L50" s="34"/>
      <c r="M50" s="34">
        <v>32522</v>
      </c>
      <c r="N50" s="34"/>
      <c r="O50" s="34">
        <v>8416</v>
      </c>
      <c r="P50" s="34"/>
      <c r="Q50" s="34">
        <v>135053</v>
      </c>
      <c r="R50" s="34"/>
      <c r="S50" s="34">
        <v>21438</v>
      </c>
      <c r="T50" s="34"/>
      <c r="U50" s="34">
        <v>0</v>
      </c>
      <c r="V50" s="34"/>
      <c r="W50" s="34">
        <v>0</v>
      </c>
      <c r="X50" s="34"/>
      <c r="Y50" s="34">
        <v>20000</v>
      </c>
      <c r="Z50" s="32"/>
      <c r="AA50" s="34">
        <v>0</v>
      </c>
      <c r="AB50" s="34"/>
      <c r="AC50" s="34">
        <v>0</v>
      </c>
      <c r="AD50" s="34"/>
      <c r="AE50" s="33">
        <f t="shared" si="0"/>
        <v>256871</v>
      </c>
    </row>
    <row r="51" spans="1:31" ht="12.75" customHeight="1">
      <c r="A51" s="1" t="s">
        <v>108</v>
      </c>
      <c r="C51" s="1" t="s">
        <v>104</v>
      </c>
      <c r="E51" s="34">
        <v>2900</v>
      </c>
      <c r="F51" s="34"/>
      <c r="G51" s="34">
        <v>0</v>
      </c>
      <c r="H51" s="34"/>
      <c r="I51" s="34">
        <v>0</v>
      </c>
      <c r="J51" s="34"/>
      <c r="K51" s="34">
        <v>0</v>
      </c>
      <c r="L51" s="34"/>
      <c r="M51" s="34">
        <v>4669</v>
      </c>
      <c r="N51" s="34"/>
      <c r="O51" s="34">
        <v>9928</v>
      </c>
      <c r="P51" s="34"/>
      <c r="Q51" s="34">
        <v>12295</v>
      </c>
      <c r="R51" s="34"/>
      <c r="S51" s="34">
        <v>0</v>
      </c>
      <c r="T51" s="34"/>
      <c r="U51" s="34">
        <v>0</v>
      </c>
      <c r="V51" s="34"/>
      <c r="W51" s="34">
        <v>0</v>
      </c>
      <c r="X51" s="34"/>
      <c r="Y51" s="34">
        <v>0</v>
      </c>
      <c r="Z51" s="34"/>
      <c r="AA51" s="34">
        <v>0</v>
      </c>
      <c r="AB51" s="32"/>
      <c r="AC51" s="34">
        <v>0</v>
      </c>
      <c r="AD51" s="34"/>
      <c r="AE51" s="33">
        <f t="shared" si="0"/>
        <v>29792</v>
      </c>
    </row>
    <row r="52" spans="1:31" ht="12.75" customHeight="1">
      <c r="A52" s="1" t="s">
        <v>709</v>
      </c>
      <c r="C52" s="1" t="s">
        <v>147</v>
      </c>
      <c r="E52" s="34">
        <v>239284</v>
      </c>
      <c r="F52" s="34"/>
      <c r="G52" s="34">
        <v>0</v>
      </c>
      <c r="H52" s="34"/>
      <c r="I52" s="34">
        <v>0</v>
      </c>
      <c r="J52" s="34"/>
      <c r="K52" s="34">
        <v>0</v>
      </c>
      <c r="L52" s="34"/>
      <c r="M52" s="34">
        <v>0</v>
      </c>
      <c r="N52" s="34"/>
      <c r="O52" s="34">
        <v>0</v>
      </c>
      <c r="P52" s="34"/>
      <c r="Q52" s="34">
        <v>362381</v>
      </c>
      <c r="R52" s="34"/>
      <c r="S52" s="34">
        <v>1000</v>
      </c>
      <c r="T52" s="34"/>
      <c r="U52" s="34">
        <v>0</v>
      </c>
      <c r="V52" s="34"/>
      <c r="W52" s="34">
        <v>0</v>
      </c>
      <c r="X52" s="34"/>
      <c r="Y52" s="34">
        <v>132000</v>
      </c>
      <c r="Z52" s="32"/>
      <c r="AA52" s="34">
        <v>0</v>
      </c>
      <c r="AB52" s="34"/>
      <c r="AC52" s="34">
        <v>660000</v>
      </c>
      <c r="AD52" s="34"/>
      <c r="AE52" s="33">
        <f t="shared" si="0"/>
        <v>1394665</v>
      </c>
    </row>
    <row r="53" spans="1:31" ht="12.75" customHeight="1">
      <c r="A53" s="1" t="s">
        <v>100</v>
      </c>
      <c r="C53" s="1" t="s">
        <v>100</v>
      </c>
      <c r="E53" s="34">
        <v>76556</v>
      </c>
      <c r="F53" s="34"/>
      <c r="G53" s="34">
        <v>4199</v>
      </c>
      <c r="H53" s="34"/>
      <c r="I53" s="34">
        <v>48156</v>
      </c>
      <c r="J53" s="34"/>
      <c r="K53" s="34">
        <v>0</v>
      </c>
      <c r="L53" s="34"/>
      <c r="M53" s="34">
        <v>0</v>
      </c>
      <c r="N53" s="34"/>
      <c r="O53" s="34">
        <v>0</v>
      </c>
      <c r="P53" s="34"/>
      <c r="Q53" s="34">
        <v>53162</v>
      </c>
      <c r="R53" s="34"/>
      <c r="S53" s="34">
        <v>0</v>
      </c>
      <c r="T53" s="34"/>
      <c r="U53" s="34">
        <v>0</v>
      </c>
      <c r="V53" s="34"/>
      <c r="W53" s="34">
        <v>0</v>
      </c>
      <c r="X53" s="34"/>
      <c r="Y53" s="34">
        <v>7500</v>
      </c>
      <c r="Z53" s="32"/>
      <c r="AA53" s="34">
        <v>5498</v>
      </c>
      <c r="AB53" s="34"/>
      <c r="AC53" s="34">
        <v>0</v>
      </c>
      <c r="AD53" s="34"/>
      <c r="AE53" s="33">
        <f t="shared" si="0"/>
        <v>195071</v>
      </c>
    </row>
    <row r="54" spans="1:31" ht="12.75" customHeight="1">
      <c r="A54" s="1" t="s">
        <v>109</v>
      </c>
      <c r="C54" s="1" t="s">
        <v>110</v>
      </c>
      <c r="E54" s="34">
        <v>1831</v>
      </c>
      <c r="F54" s="34"/>
      <c r="G54" s="34">
        <v>50</v>
      </c>
      <c r="H54" s="34"/>
      <c r="I54" s="34">
        <v>2</v>
      </c>
      <c r="J54" s="34"/>
      <c r="K54" s="34">
        <v>0</v>
      </c>
      <c r="L54" s="34"/>
      <c r="M54" s="35">
        <v>0</v>
      </c>
      <c r="N54" s="34"/>
      <c r="O54" s="34">
        <v>0</v>
      </c>
      <c r="P54" s="34"/>
      <c r="Q54" s="35">
        <f>1057-2778+49326</f>
        <v>47605</v>
      </c>
      <c r="R54" s="34"/>
      <c r="S54" s="34">
        <v>0</v>
      </c>
      <c r="T54" s="34"/>
      <c r="U54" s="34">
        <v>0</v>
      </c>
      <c r="V54" s="34"/>
      <c r="W54" s="34">
        <v>0</v>
      </c>
      <c r="X54" s="34"/>
      <c r="Y54" s="34">
        <v>0</v>
      </c>
      <c r="Z54" s="34"/>
      <c r="AA54" s="34">
        <v>0</v>
      </c>
      <c r="AB54" s="32"/>
      <c r="AC54" s="34">
        <v>0</v>
      </c>
      <c r="AD54" s="34"/>
      <c r="AE54" s="33">
        <f t="shared" si="0"/>
        <v>49488</v>
      </c>
    </row>
    <row r="55" spans="1:31" ht="12.75" customHeight="1">
      <c r="A55" s="1" t="s">
        <v>630</v>
      </c>
      <c r="C55" s="1" t="s">
        <v>378</v>
      </c>
      <c r="E55" s="34">
        <v>5043</v>
      </c>
      <c r="F55" s="34"/>
      <c r="G55" s="34">
        <v>2491</v>
      </c>
      <c r="H55" s="34"/>
      <c r="I55" s="34">
        <v>0</v>
      </c>
      <c r="J55" s="34"/>
      <c r="K55" s="34">
        <v>0</v>
      </c>
      <c r="L55" s="34"/>
      <c r="M55" s="34">
        <v>0</v>
      </c>
      <c r="N55" s="34"/>
      <c r="O55" s="34">
        <v>0</v>
      </c>
      <c r="P55" s="34"/>
      <c r="Q55" s="34">
        <v>54879</v>
      </c>
      <c r="R55" s="34"/>
      <c r="S55" s="34">
        <v>0</v>
      </c>
      <c r="T55" s="34"/>
      <c r="U55" s="34">
        <v>0</v>
      </c>
      <c r="V55" s="34"/>
      <c r="W55" s="34">
        <v>0</v>
      </c>
      <c r="X55" s="34"/>
      <c r="Y55" s="34">
        <v>163</v>
      </c>
      <c r="Z55" s="32"/>
      <c r="AA55" s="34">
        <v>0</v>
      </c>
      <c r="AB55" s="34"/>
      <c r="AC55" s="34">
        <v>0</v>
      </c>
      <c r="AD55" s="34"/>
      <c r="AE55" s="33">
        <f t="shared" si="0"/>
        <v>62576</v>
      </c>
    </row>
    <row r="56" spans="1:31" ht="12.75" customHeight="1">
      <c r="A56" s="1" t="s">
        <v>111</v>
      </c>
      <c r="C56" s="1" t="s">
        <v>112</v>
      </c>
      <c r="E56" s="34">
        <v>603427</v>
      </c>
      <c r="F56" s="34"/>
      <c r="G56" s="34">
        <v>0</v>
      </c>
      <c r="H56" s="34"/>
      <c r="I56" s="34">
        <v>0</v>
      </c>
      <c r="J56" s="34"/>
      <c r="K56" s="34">
        <v>0</v>
      </c>
      <c r="L56" s="34"/>
      <c r="M56" s="34">
        <v>55904</v>
      </c>
      <c r="N56" s="34"/>
      <c r="O56" s="34">
        <v>144983</v>
      </c>
      <c r="P56" s="34"/>
      <c r="Q56" s="34">
        <v>299299</v>
      </c>
      <c r="R56" s="34"/>
      <c r="S56" s="34">
        <v>19513</v>
      </c>
      <c r="T56" s="34"/>
      <c r="U56" s="34">
        <v>0</v>
      </c>
      <c r="V56" s="34"/>
      <c r="W56" s="34">
        <v>0</v>
      </c>
      <c r="X56" s="34"/>
      <c r="Y56" s="34">
        <v>271274</v>
      </c>
      <c r="Z56" s="34"/>
      <c r="AA56" s="34">
        <v>0</v>
      </c>
      <c r="AB56" s="32"/>
      <c r="AC56" s="34">
        <v>9650</v>
      </c>
      <c r="AD56" s="34"/>
      <c r="AE56" s="33">
        <f t="shared" si="0"/>
        <v>1404050</v>
      </c>
    </row>
    <row r="57" spans="1:31" ht="12.75" customHeight="1">
      <c r="A57" s="1" t="s">
        <v>113</v>
      </c>
      <c r="C57" s="1" t="s">
        <v>114</v>
      </c>
      <c r="E57" s="34">
        <v>2447</v>
      </c>
      <c r="F57" s="34"/>
      <c r="G57" s="34">
        <v>1205</v>
      </c>
      <c r="H57" s="34"/>
      <c r="I57" s="34">
        <v>5177</v>
      </c>
      <c r="J57" s="34"/>
      <c r="K57" s="34">
        <v>0</v>
      </c>
      <c r="L57" s="34"/>
      <c r="M57" s="34">
        <v>0</v>
      </c>
      <c r="N57" s="34"/>
      <c r="O57" s="34">
        <v>0</v>
      </c>
      <c r="P57" s="34"/>
      <c r="Q57" s="34">
        <f>97016-13250</f>
        <v>83766</v>
      </c>
      <c r="R57" s="34"/>
      <c r="S57" s="34">
        <v>0</v>
      </c>
      <c r="T57" s="34"/>
      <c r="U57" s="34">
        <v>0</v>
      </c>
      <c r="V57" s="34"/>
      <c r="W57" s="34">
        <v>0</v>
      </c>
      <c r="X57" s="34"/>
      <c r="Y57" s="34">
        <v>0</v>
      </c>
      <c r="Z57" s="34"/>
      <c r="AA57" s="34">
        <v>0</v>
      </c>
      <c r="AB57" s="32"/>
      <c r="AC57" s="34">
        <v>0</v>
      </c>
      <c r="AD57" s="34"/>
      <c r="AE57" s="33">
        <f t="shared" si="0"/>
        <v>92595</v>
      </c>
    </row>
    <row r="58" spans="1:31" ht="12.75" customHeight="1">
      <c r="A58" s="1" t="s">
        <v>115</v>
      </c>
      <c r="C58" s="1" t="s">
        <v>69</v>
      </c>
      <c r="E58" s="34">
        <v>17296</v>
      </c>
      <c r="F58" s="34"/>
      <c r="G58" s="34">
        <v>781</v>
      </c>
      <c r="H58" s="34"/>
      <c r="I58" s="34">
        <v>0</v>
      </c>
      <c r="J58" s="34"/>
      <c r="K58" s="34">
        <v>0</v>
      </c>
      <c r="L58" s="34"/>
      <c r="M58" s="34">
        <v>1293</v>
      </c>
      <c r="N58" s="34"/>
      <c r="O58" s="34">
        <v>5289</v>
      </c>
      <c r="P58" s="34"/>
      <c r="Q58" s="34">
        <v>87489</v>
      </c>
      <c r="R58" s="34"/>
      <c r="S58" s="34">
        <v>0</v>
      </c>
      <c r="T58" s="34"/>
      <c r="U58" s="34">
        <v>0</v>
      </c>
      <c r="V58" s="34"/>
      <c r="W58" s="34">
        <v>0</v>
      </c>
      <c r="X58" s="34"/>
      <c r="Y58" s="34">
        <v>0</v>
      </c>
      <c r="Z58" s="34"/>
      <c r="AA58" s="34">
        <v>0</v>
      </c>
      <c r="AB58" s="32"/>
      <c r="AC58" s="34">
        <v>0</v>
      </c>
      <c r="AD58" s="34"/>
      <c r="AE58" s="33">
        <f t="shared" si="0"/>
        <v>112148</v>
      </c>
    </row>
    <row r="59" spans="1:31" ht="12.75" customHeight="1">
      <c r="A59" s="1" t="s">
        <v>626</v>
      </c>
      <c r="C59" s="1" t="s">
        <v>250</v>
      </c>
      <c r="E59" s="34">
        <v>44221</v>
      </c>
      <c r="F59" s="34"/>
      <c r="G59" s="34">
        <v>3622</v>
      </c>
      <c r="H59" s="34"/>
      <c r="I59" s="34">
        <v>19334</v>
      </c>
      <c r="J59" s="34"/>
      <c r="K59" s="34">
        <v>0</v>
      </c>
      <c r="L59" s="34"/>
      <c r="M59" s="34">
        <v>0</v>
      </c>
      <c r="N59" s="34"/>
      <c r="O59" s="34">
        <v>0</v>
      </c>
      <c r="P59" s="34"/>
      <c r="Q59" s="34">
        <v>36207</v>
      </c>
      <c r="R59" s="34"/>
      <c r="S59" s="34">
        <v>0</v>
      </c>
      <c r="T59" s="34"/>
      <c r="U59" s="34">
        <v>0</v>
      </c>
      <c r="V59" s="34"/>
      <c r="W59" s="34">
        <v>0</v>
      </c>
      <c r="X59" s="34"/>
      <c r="Y59" s="34">
        <v>0</v>
      </c>
      <c r="Z59" s="32"/>
      <c r="AA59" s="34">
        <v>0</v>
      </c>
      <c r="AB59" s="34"/>
      <c r="AC59" s="34">
        <v>359</v>
      </c>
      <c r="AD59" s="34"/>
      <c r="AE59" s="33">
        <f t="shared" si="0"/>
        <v>103743</v>
      </c>
    </row>
    <row r="60" spans="1:31" ht="12.75" customHeight="1">
      <c r="A60" s="1" t="s">
        <v>528</v>
      </c>
      <c r="C60" s="1" t="s">
        <v>261</v>
      </c>
      <c r="E60" s="34">
        <v>133560</v>
      </c>
      <c r="F60" s="34"/>
      <c r="G60" s="34">
        <v>11410</v>
      </c>
      <c r="H60" s="34"/>
      <c r="I60" s="34">
        <v>4619</v>
      </c>
      <c r="J60" s="34"/>
      <c r="K60" s="34">
        <v>7249</v>
      </c>
      <c r="L60" s="34"/>
      <c r="M60" s="34">
        <v>2569</v>
      </c>
      <c r="N60" s="34"/>
      <c r="O60" s="34">
        <v>54382</v>
      </c>
      <c r="P60" s="34"/>
      <c r="Q60" s="34">
        <v>81285</v>
      </c>
      <c r="R60" s="34"/>
      <c r="S60" s="34">
        <v>0</v>
      </c>
      <c r="T60" s="34"/>
      <c r="U60" s="34">
        <v>0</v>
      </c>
      <c r="V60" s="34"/>
      <c r="W60" s="34">
        <v>0</v>
      </c>
      <c r="X60" s="34"/>
      <c r="Y60" s="34">
        <v>0</v>
      </c>
      <c r="Z60" s="32"/>
      <c r="AA60" s="34">
        <v>0</v>
      </c>
      <c r="AB60" s="34"/>
      <c r="AC60" s="34">
        <v>0</v>
      </c>
      <c r="AD60" s="34"/>
      <c r="AE60" s="33">
        <f t="shared" si="0"/>
        <v>295074</v>
      </c>
    </row>
    <row r="61" spans="1:31" ht="12.75" customHeight="1">
      <c r="A61" s="1" t="s">
        <v>116</v>
      </c>
      <c r="C61" s="1" t="s">
        <v>102</v>
      </c>
      <c r="E61" s="34">
        <v>233114</v>
      </c>
      <c r="F61" s="34"/>
      <c r="G61" s="34">
        <v>5843</v>
      </c>
      <c r="H61" s="34"/>
      <c r="I61" s="34">
        <v>3951</v>
      </c>
      <c r="J61" s="34"/>
      <c r="K61" s="34">
        <v>4739</v>
      </c>
      <c r="L61" s="34"/>
      <c r="M61" s="34">
        <v>0</v>
      </c>
      <c r="N61" s="34"/>
      <c r="O61" s="34">
        <v>43681</v>
      </c>
      <c r="P61" s="34"/>
      <c r="Q61" s="34">
        <v>374548</v>
      </c>
      <c r="R61" s="34"/>
      <c r="S61" s="34">
        <v>0</v>
      </c>
      <c r="T61" s="34"/>
      <c r="U61" s="34">
        <v>0</v>
      </c>
      <c r="V61" s="34"/>
      <c r="W61" s="34">
        <v>0</v>
      </c>
      <c r="X61" s="34"/>
      <c r="Y61" s="34">
        <v>29583</v>
      </c>
      <c r="Z61" s="34"/>
      <c r="AA61" s="34">
        <v>0</v>
      </c>
      <c r="AB61" s="32"/>
      <c r="AC61" s="34">
        <v>0</v>
      </c>
      <c r="AD61" s="34"/>
      <c r="AE61" s="33">
        <f t="shared" si="0"/>
        <v>695459</v>
      </c>
    </row>
    <row r="62" spans="1:31" ht="12.75" customHeight="1">
      <c r="A62" s="1" t="s">
        <v>465</v>
      </c>
      <c r="C62" s="1" t="s">
        <v>100</v>
      </c>
      <c r="E62" s="34">
        <v>53142</v>
      </c>
      <c r="F62" s="34"/>
      <c r="G62" s="34">
        <v>4179</v>
      </c>
      <c r="H62" s="34"/>
      <c r="I62" s="34">
        <v>4964</v>
      </c>
      <c r="J62" s="34"/>
      <c r="K62" s="34">
        <v>0</v>
      </c>
      <c r="L62" s="34"/>
      <c r="M62" s="34">
        <v>0</v>
      </c>
      <c r="N62" s="34"/>
      <c r="O62" s="34">
        <v>7921</v>
      </c>
      <c r="P62" s="34"/>
      <c r="Q62" s="34">
        <v>32900</v>
      </c>
      <c r="R62" s="34"/>
      <c r="S62" s="34">
        <v>0</v>
      </c>
      <c r="T62" s="34"/>
      <c r="U62" s="34">
        <v>3285</v>
      </c>
      <c r="V62" s="34"/>
      <c r="W62" s="34">
        <v>2391</v>
      </c>
      <c r="X62" s="34"/>
      <c r="Y62" s="34">
        <v>28134</v>
      </c>
      <c r="Z62" s="32"/>
      <c r="AA62" s="34">
        <v>0</v>
      </c>
      <c r="AB62" s="34"/>
      <c r="AC62" s="34">
        <v>0</v>
      </c>
      <c r="AD62" s="34"/>
      <c r="AE62" s="33">
        <f t="shared" si="0"/>
        <v>136916</v>
      </c>
    </row>
    <row r="63" spans="1:31" ht="12.75" customHeight="1">
      <c r="A63" s="1" t="s">
        <v>117</v>
      </c>
      <c r="C63" s="1" t="s">
        <v>118</v>
      </c>
      <c r="E63" s="34">
        <v>125031</v>
      </c>
      <c r="F63" s="34"/>
      <c r="G63" s="34">
        <v>1464</v>
      </c>
      <c r="H63" s="34"/>
      <c r="I63" s="34">
        <v>0</v>
      </c>
      <c r="J63" s="34"/>
      <c r="K63" s="34">
        <v>0</v>
      </c>
      <c r="L63" s="34"/>
      <c r="M63" s="34">
        <v>0</v>
      </c>
      <c r="N63" s="34"/>
      <c r="O63" s="34">
        <v>0</v>
      </c>
      <c r="P63" s="34"/>
      <c r="Q63" s="34">
        <v>67043</v>
      </c>
      <c r="R63" s="34"/>
      <c r="S63" s="34">
        <v>28984</v>
      </c>
      <c r="T63" s="34"/>
      <c r="U63" s="34">
        <v>8709</v>
      </c>
      <c r="V63" s="34"/>
      <c r="W63" s="34">
        <v>2113</v>
      </c>
      <c r="X63" s="34"/>
      <c r="Y63" s="34">
        <v>11000</v>
      </c>
      <c r="Z63" s="34"/>
      <c r="AA63" s="34">
        <v>0</v>
      </c>
      <c r="AB63" s="32"/>
      <c r="AC63" s="34">
        <v>82304</v>
      </c>
      <c r="AD63" s="34"/>
      <c r="AE63" s="33">
        <f t="shared" si="0"/>
        <v>326648</v>
      </c>
    </row>
    <row r="64" spans="1:31" ht="12.75" customHeight="1">
      <c r="A64" s="1" t="s">
        <v>119</v>
      </c>
      <c r="C64" s="1" t="s">
        <v>120</v>
      </c>
      <c r="E64" s="34">
        <v>242265</v>
      </c>
      <c r="F64" s="34"/>
      <c r="G64" s="34">
        <v>14449</v>
      </c>
      <c r="H64" s="34"/>
      <c r="I64" s="34">
        <v>5804</v>
      </c>
      <c r="J64" s="34"/>
      <c r="K64" s="34">
        <v>2150</v>
      </c>
      <c r="L64" s="34"/>
      <c r="M64" s="34">
        <v>0</v>
      </c>
      <c r="N64" s="34"/>
      <c r="O64" s="34">
        <v>31471</v>
      </c>
      <c r="P64" s="34"/>
      <c r="Q64" s="34">
        <v>150416</v>
      </c>
      <c r="R64" s="34"/>
      <c r="S64" s="34">
        <v>19764</v>
      </c>
      <c r="T64" s="34"/>
      <c r="U64" s="34">
        <v>40000</v>
      </c>
      <c r="V64" s="34"/>
      <c r="W64" s="34">
        <v>2534</v>
      </c>
      <c r="X64" s="34"/>
      <c r="Y64" s="34">
        <v>77350</v>
      </c>
      <c r="Z64" s="34"/>
      <c r="AA64" s="34">
        <v>0</v>
      </c>
      <c r="AB64" s="32"/>
      <c r="AC64" s="34">
        <v>0</v>
      </c>
      <c r="AD64" s="34"/>
      <c r="AE64" s="33">
        <f t="shared" si="0"/>
        <v>586203</v>
      </c>
    </row>
    <row r="65" spans="1:31" ht="12.75" customHeight="1">
      <c r="A65" s="1" t="s">
        <v>765</v>
      </c>
      <c r="C65" s="1" t="s">
        <v>190</v>
      </c>
      <c r="E65" s="34">
        <v>2148</v>
      </c>
      <c r="F65" s="34"/>
      <c r="G65" s="34">
        <v>0</v>
      </c>
      <c r="H65" s="34"/>
      <c r="I65" s="34">
        <v>0</v>
      </c>
      <c r="J65" s="34"/>
      <c r="K65" s="34">
        <v>0</v>
      </c>
      <c r="L65" s="34"/>
      <c r="M65" s="34">
        <v>1383</v>
      </c>
      <c r="N65" s="34"/>
      <c r="O65" s="34">
        <v>0</v>
      </c>
      <c r="P65" s="34"/>
      <c r="Q65" s="34">
        <v>17352</v>
      </c>
      <c r="R65" s="34"/>
      <c r="S65" s="34">
        <v>0</v>
      </c>
      <c r="T65" s="34"/>
      <c r="U65" s="34">
        <v>0</v>
      </c>
      <c r="V65" s="34"/>
      <c r="W65" s="34">
        <v>0</v>
      </c>
      <c r="X65" s="34"/>
      <c r="Y65" s="34">
        <v>10000</v>
      </c>
      <c r="Z65" s="32"/>
      <c r="AA65" s="34">
        <v>0</v>
      </c>
      <c r="AB65" s="34"/>
      <c r="AC65" s="34">
        <v>0</v>
      </c>
      <c r="AD65" s="34"/>
      <c r="AE65" s="33">
        <f t="shared" si="0"/>
        <v>30883</v>
      </c>
    </row>
    <row r="66" spans="1:31" ht="12.75" customHeight="1">
      <c r="A66" s="1" t="s">
        <v>121</v>
      </c>
      <c r="C66" s="1" t="s">
        <v>122</v>
      </c>
      <c r="E66" s="34">
        <v>572889</v>
      </c>
      <c r="F66" s="34"/>
      <c r="G66" s="34">
        <v>0</v>
      </c>
      <c r="H66" s="34"/>
      <c r="I66" s="34">
        <v>82430</v>
      </c>
      <c r="J66" s="34"/>
      <c r="K66" s="34">
        <v>11309</v>
      </c>
      <c r="L66" s="34"/>
      <c r="M66" s="34">
        <v>0</v>
      </c>
      <c r="N66" s="34"/>
      <c r="O66" s="34">
        <v>0</v>
      </c>
      <c r="P66" s="34"/>
      <c r="Q66" s="34">
        <v>252182</v>
      </c>
      <c r="R66" s="34"/>
      <c r="S66" s="34">
        <v>0</v>
      </c>
      <c r="T66" s="34"/>
      <c r="U66" s="34">
        <v>19801</v>
      </c>
      <c r="V66" s="34"/>
      <c r="W66" s="34">
        <v>0</v>
      </c>
      <c r="X66" s="34"/>
      <c r="Y66" s="34">
        <v>0</v>
      </c>
      <c r="Z66" s="34"/>
      <c r="AA66" s="34">
        <v>0</v>
      </c>
      <c r="AB66" s="32"/>
      <c r="AC66" s="34">
        <v>113257</v>
      </c>
      <c r="AD66" s="34"/>
      <c r="AE66" s="33">
        <f t="shared" si="0"/>
        <v>1051868</v>
      </c>
    </row>
    <row r="67" spans="1:31" ht="12.75" customHeight="1">
      <c r="A67" s="1" t="s">
        <v>123</v>
      </c>
      <c r="C67" s="1" t="s">
        <v>94</v>
      </c>
      <c r="E67" s="34">
        <v>49181</v>
      </c>
      <c r="F67" s="34"/>
      <c r="G67" s="34">
        <v>388</v>
      </c>
      <c r="H67" s="34"/>
      <c r="I67" s="34">
        <v>9790</v>
      </c>
      <c r="J67" s="34"/>
      <c r="K67" s="34">
        <v>0</v>
      </c>
      <c r="L67" s="34"/>
      <c r="M67" s="34">
        <v>0</v>
      </c>
      <c r="N67" s="34"/>
      <c r="O67" s="34">
        <v>0</v>
      </c>
      <c r="P67" s="34"/>
      <c r="Q67" s="34">
        <v>103447</v>
      </c>
      <c r="R67" s="34"/>
      <c r="S67" s="34">
        <v>0</v>
      </c>
      <c r="T67" s="34"/>
      <c r="U67" s="34">
        <v>21582</v>
      </c>
      <c r="V67" s="34"/>
      <c r="W67" s="34">
        <v>0</v>
      </c>
      <c r="X67" s="34"/>
      <c r="Y67" s="34">
        <v>40082</v>
      </c>
      <c r="Z67" s="34"/>
      <c r="AA67" s="34">
        <v>0</v>
      </c>
      <c r="AB67" s="32"/>
      <c r="AC67" s="34">
        <v>0</v>
      </c>
      <c r="AD67" s="34"/>
      <c r="AE67" s="33">
        <f t="shared" si="0"/>
        <v>224470</v>
      </c>
    </row>
    <row r="68" spans="1:31" ht="12.75" customHeight="1">
      <c r="A68" s="1" t="s">
        <v>537</v>
      </c>
      <c r="C68" s="1" t="s">
        <v>200</v>
      </c>
      <c r="E68" s="34">
        <v>40551</v>
      </c>
      <c r="F68" s="34"/>
      <c r="G68" s="34">
        <v>2374</v>
      </c>
      <c r="H68" s="34"/>
      <c r="I68" s="34">
        <v>905</v>
      </c>
      <c r="J68" s="34"/>
      <c r="K68" s="34">
        <v>19400</v>
      </c>
      <c r="L68" s="34"/>
      <c r="M68" s="34">
        <v>23392</v>
      </c>
      <c r="N68" s="34"/>
      <c r="O68" s="34">
        <v>0</v>
      </c>
      <c r="P68" s="34"/>
      <c r="Q68" s="34">
        <v>31237</v>
      </c>
      <c r="R68" s="34"/>
      <c r="S68" s="34">
        <v>0</v>
      </c>
      <c r="T68" s="34"/>
      <c r="U68" s="34">
        <v>0</v>
      </c>
      <c r="V68" s="34"/>
      <c r="W68" s="34">
        <v>0</v>
      </c>
      <c r="X68" s="34"/>
      <c r="Y68" s="34">
        <v>0</v>
      </c>
      <c r="Z68" s="32"/>
      <c r="AA68" s="34">
        <v>0</v>
      </c>
      <c r="AB68" s="34"/>
      <c r="AC68" s="34">
        <v>0</v>
      </c>
      <c r="AD68" s="34"/>
      <c r="AE68" s="33">
        <f t="shared" si="0"/>
        <v>117859</v>
      </c>
    </row>
    <row r="69" spans="1:31" ht="12.75" customHeight="1">
      <c r="A69" s="1" t="s">
        <v>597</v>
      </c>
      <c r="C69" s="1" t="s">
        <v>69</v>
      </c>
      <c r="E69" s="34">
        <v>10393</v>
      </c>
      <c r="F69" s="34"/>
      <c r="G69" s="34">
        <v>184</v>
      </c>
      <c r="H69" s="34"/>
      <c r="I69" s="34">
        <v>13014</v>
      </c>
      <c r="J69" s="34"/>
      <c r="K69" s="34">
        <v>0</v>
      </c>
      <c r="L69" s="34"/>
      <c r="M69" s="34">
        <v>0</v>
      </c>
      <c r="N69" s="34"/>
      <c r="O69" s="34">
        <v>0</v>
      </c>
      <c r="P69" s="34"/>
      <c r="Q69" s="34">
        <v>9997</v>
      </c>
      <c r="R69" s="34"/>
      <c r="S69" s="34">
        <v>0</v>
      </c>
      <c r="T69" s="34"/>
      <c r="U69" s="34">
        <v>0</v>
      </c>
      <c r="V69" s="34"/>
      <c r="W69" s="34">
        <v>0</v>
      </c>
      <c r="X69" s="34"/>
      <c r="Y69" s="34">
        <v>0</v>
      </c>
      <c r="Z69" s="32"/>
      <c r="AA69" s="34">
        <v>0</v>
      </c>
      <c r="AB69" s="34"/>
      <c r="AC69" s="34">
        <v>0</v>
      </c>
      <c r="AD69" s="34"/>
      <c r="AE69" s="33">
        <f t="shared" si="0"/>
        <v>33588</v>
      </c>
    </row>
    <row r="70" spans="5:31" ht="12.75" customHeight="1"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2"/>
      <c r="AA70" s="34"/>
      <c r="AB70" s="34"/>
      <c r="AD70" s="34"/>
      <c r="AE70" s="34" t="s">
        <v>785</v>
      </c>
    </row>
    <row r="71" spans="1:31" s="36" customFormat="1" ht="12.75" customHeight="1">
      <c r="A71" s="36" t="s">
        <v>124</v>
      </c>
      <c r="C71" s="36" t="s">
        <v>118</v>
      </c>
      <c r="E71" s="39">
        <v>8367</v>
      </c>
      <c r="F71" s="39"/>
      <c r="G71" s="39">
        <v>1578</v>
      </c>
      <c r="H71" s="39"/>
      <c r="I71" s="39">
        <v>3047</v>
      </c>
      <c r="J71" s="39"/>
      <c r="K71" s="39">
        <v>153</v>
      </c>
      <c r="L71" s="39"/>
      <c r="M71" s="39">
        <v>5888</v>
      </c>
      <c r="N71" s="39"/>
      <c r="O71" s="39">
        <v>22264</v>
      </c>
      <c r="P71" s="39"/>
      <c r="Q71" s="39">
        <v>47553</v>
      </c>
      <c r="R71" s="39"/>
      <c r="S71" s="39">
        <v>13684</v>
      </c>
      <c r="T71" s="39"/>
      <c r="U71" s="39">
        <v>0</v>
      </c>
      <c r="V71" s="39"/>
      <c r="W71" s="39">
        <v>0</v>
      </c>
      <c r="X71" s="39"/>
      <c r="Y71" s="39">
        <v>30055</v>
      </c>
      <c r="Z71" s="39"/>
      <c r="AA71" s="39">
        <v>0</v>
      </c>
      <c r="AB71" s="38"/>
      <c r="AC71" s="39">
        <v>0</v>
      </c>
      <c r="AD71" s="39"/>
      <c r="AE71" s="40">
        <f t="shared" si="0"/>
        <v>132589</v>
      </c>
    </row>
    <row r="72" spans="1:31" ht="12.75" customHeight="1">
      <c r="A72" s="1" t="s">
        <v>125</v>
      </c>
      <c r="C72" s="1" t="s">
        <v>126</v>
      </c>
      <c r="E72" s="34">
        <v>661495</v>
      </c>
      <c r="F72" s="34"/>
      <c r="G72" s="34">
        <v>49883</v>
      </c>
      <c r="H72" s="34"/>
      <c r="I72" s="34">
        <v>99927</v>
      </c>
      <c r="J72" s="34"/>
      <c r="K72" s="34">
        <v>1558</v>
      </c>
      <c r="L72" s="34"/>
      <c r="M72" s="34">
        <v>5500</v>
      </c>
      <c r="N72" s="34"/>
      <c r="O72" s="34">
        <v>15084</v>
      </c>
      <c r="P72" s="34"/>
      <c r="Q72" s="34">
        <v>403845</v>
      </c>
      <c r="R72" s="34"/>
      <c r="S72" s="34">
        <v>248590</v>
      </c>
      <c r="T72" s="34"/>
      <c r="U72" s="34">
        <v>0</v>
      </c>
      <c r="V72" s="34"/>
      <c r="W72" s="34">
        <v>0</v>
      </c>
      <c r="X72" s="34"/>
      <c r="Y72" s="34">
        <v>769500</v>
      </c>
      <c r="Z72" s="34"/>
      <c r="AA72" s="34">
        <v>0</v>
      </c>
      <c r="AB72" s="32"/>
      <c r="AC72" s="34">
        <v>0</v>
      </c>
      <c r="AD72" s="34"/>
      <c r="AE72" s="33">
        <f t="shared" si="0"/>
        <v>2255382</v>
      </c>
    </row>
    <row r="73" spans="1:31" ht="12.75" customHeight="1">
      <c r="A73" s="1" t="s">
        <v>127</v>
      </c>
      <c r="C73" s="1" t="s">
        <v>96</v>
      </c>
      <c r="E73" s="34">
        <v>77399</v>
      </c>
      <c r="F73" s="34"/>
      <c r="G73" s="34">
        <v>784</v>
      </c>
      <c r="H73" s="34"/>
      <c r="I73" s="34">
        <v>12177</v>
      </c>
      <c r="J73" s="34"/>
      <c r="K73" s="34">
        <v>5108</v>
      </c>
      <c r="L73" s="34"/>
      <c r="M73" s="34">
        <v>38929</v>
      </c>
      <c r="N73" s="34"/>
      <c r="O73" s="34">
        <v>6153</v>
      </c>
      <c r="P73" s="34"/>
      <c r="Q73" s="34">
        <v>66566</v>
      </c>
      <c r="R73" s="34"/>
      <c r="S73" s="34">
        <v>0</v>
      </c>
      <c r="T73" s="34"/>
      <c r="U73" s="34">
        <v>0</v>
      </c>
      <c r="V73" s="34"/>
      <c r="W73" s="34">
        <v>0</v>
      </c>
      <c r="X73" s="34"/>
      <c r="Y73" s="34">
        <v>0</v>
      </c>
      <c r="Z73" s="34"/>
      <c r="AA73" s="34">
        <v>0</v>
      </c>
      <c r="AB73" s="32"/>
      <c r="AC73" s="34">
        <v>0</v>
      </c>
      <c r="AD73" s="34"/>
      <c r="AE73" s="33">
        <f aca="true" t="shared" si="1" ref="AE73:AE138">SUM(E73:AC73)</f>
        <v>207116</v>
      </c>
    </row>
    <row r="74" spans="1:31" ht="12.75" customHeight="1">
      <c r="A74" s="1" t="s">
        <v>128</v>
      </c>
      <c r="C74" s="1" t="s">
        <v>129</v>
      </c>
      <c r="E74" s="34">
        <v>604464</v>
      </c>
      <c r="F74" s="34"/>
      <c r="G74" s="34">
        <v>22526</v>
      </c>
      <c r="H74" s="34"/>
      <c r="I74" s="34">
        <v>0</v>
      </c>
      <c r="J74" s="34"/>
      <c r="K74" s="34">
        <v>32361</v>
      </c>
      <c r="L74" s="34"/>
      <c r="M74" s="34">
        <v>0</v>
      </c>
      <c r="N74" s="34"/>
      <c r="O74" s="34">
        <v>142277</v>
      </c>
      <c r="P74" s="34"/>
      <c r="Q74" s="34">
        <v>388146</v>
      </c>
      <c r="R74" s="34"/>
      <c r="S74" s="34">
        <v>0</v>
      </c>
      <c r="T74" s="34"/>
      <c r="U74" s="34">
        <v>87853</v>
      </c>
      <c r="V74" s="34"/>
      <c r="W74" s="34">
        <v>3558</v>
      </c>
      <c r="X74" s="34"/>
      <c r="Y74" s="34">
        <v>0</v>
      </c>
      <c r="Z74" s="34"/>
      <c r="AA74" s="34">
        <v>0</v>
      </c>
      <c r="AB74" s="32"/>
      <c r="AC74" s="34">
        <v>0</v>
      </c>
      <c r="AD74" s="34"/>
      <c r="AE74" s="33">
        <f t="shared" si="1"/>
        <v>1281185</v>
      </c>
    </row>
    <row r="75" spans="1:31" ht="12.75" customHeight="1">
      <c r="A75" s="1" t="s">
        <v>130</v>
      </c>
      <c r="C75" s="1" t="s">
        <v>131</v>
      </c>
      <c r="E75" s="34">
        <v>0</v>
      </c>
      <c r="F75" s="34"/>
      <c r="G75" s="34">
        <v>0</v>
      </c>
      <c r="H75" s="34"/>
      <c r="I75" s="34">
        <v>0</v>
      </c>
      <c r="J75" s="34"/>
      <c r="K75" s="34">
        <v>0</v>
      </c>
      <c r="L75" s="34"/>
      <c r="M75" s="34">
        <v>0</v>
      </c>
      <c r="N75" s="34"/>
      <c r="O75" s="34">
        <v>0</v>
      </c>
      <c r="P75" s="34"/>
      <c r="Q75" s="34">
        <v>0</v>
      </c>
      <c r="R75" s="34"/>
      <c r="S75" s="34">
        <v>0</v>
      </c>
      <c r="T75" s="34"/>
      <c r="U75" s="34">
        <v>0</v>
      </c>
      <c r="V75" s="34"/>
      <c r="W75" s="34">
        <v>0</v>
      </c>
      <c r="X75" s="34"/>
      <c r="Y75" s="34">
        <v>0</v>
      </c>
      <c r="Z75" s="34"/>
      <c r="AA75" s="34">
        <v>0</v>
      </c>
      <c r="AB75" s="32"/>
      <c r="AC75" s="34">
        <v>0</v>
      </c>
      <c r="AD75" s="34"/>
      <c r="AE75" s="33">
        <f t="shared" si="1"/>
        <v>0</v>
      </c>
    </row>
    <row r="76" spans="1:31" ht="12.75" customHeight="1">
      <c r="A76" s="1" t="s">
        <v>132</v>
      </c>
      <c r="C76" s="1" t="s">
        <v>133</v>
      </c>
      <c r="E76" s="34">
        <v>4229</v>
      </c>
      <c r="F76" s="34"/>
      <c r="G76" s="34">
        <v>143</v>
      </c>
      <c r="H76" s="34"/>
      <c r="I76" s="34">
        <v>12654</v>
      </c>
      <c r="J76" s="34"/>
      <c r="K76" s="34">
        <v>10</v>
      </c>
      <c r="L76" s="34"/>
      <c r="M76" s="34">
        <v>1451</v>
      </c>
      <c r="N76" s="34"/>
      <c r="O76" s="34">
        <v>30688</v>
      </c>
      <c r="P76" s="34"/>
      <c r="Q76" s="34">
        <v>61936</v>
      </c>
      <c r="R76" s="34"/>
      <c r="S76" s="34">
        <v>0</v>
      </c>
      <c r="T76" s="34"/>
      <c r="U76" s="34">
        <v>0</v>
      </c>
      <c r="V76" s="34"/>
      <c r="W76" s="34">
        <v>0</v>
      </c>
      <c r="X76" s="34"/>
      <c r="Y76" s="34">
        <v>5000</v>
      </c>
      <c r="Z76" s="34"/>
      <c r="AA76" s="34">
        <v>0</v>
      </c>
      <c r="AB76" s="32"/>
      <c r="AC76" s="34">
        <v>0</v>
      </c>
      <c r="AD76" s="34"/>
      <c r="AE76" s="33">
        <f t="shared" si="1"/>
        <v>116111</v>
      </c>
    </row>
    <row r="77" spans="1:31" ht="12.75" customHeight="1">
      <c r="A77" s="1" t="s">
        <v>554</v>
      </c>
      <c r="C77" s="1" t="s">
        <v>157</v>
      </c>
      <c r="E77" s="34">
        <v>0</v>
      </c>
      <c r="F77" s="34"/>
      <c r="G77" s="34">
        <v>0</v>
      </c>
      <c r="H77" s="34"/>
      <c r="I77" s="34">
        <v>0</v>
      </c>
      <c r="J77" s="34"/>
      <c r="K77" s="34">
        <v>0</v>
      </c>
      <c r="L77" s="34"/>
      <c r="M77" s="34">
        <v>0</v>
      </c>
      <c r="N77" s="34"/>
      <c r="O77" s="34">
        <v>0</v>
      </c>
      <c r="P77" s="34"/>
      <c r="Q77" s="34">
        <v>32876</v>
      </c>
      <c r="R77" s="34"/>
      <c r="S77" s="34">
        <v>0</v>
      </c>
      <c r="T77" s="34"/>
      <c r="U77" s="34">
        <v>0</v>
      </c>
      <c r="V77" s="34"/>
      <c r="W77" s="34">
        <v>0</v>
      </c>
      <c r="X77" s="34"/>
      <c r="Y77" s="34">
        <v>0</v>
      </c>
      <c r="Z77" s="32"/>
      <c r="AA77" s="34">
        <v>0</v>
      </c>
      <c r="AB77" s="34"/>
      <c r="AC77" s="34">
        <v>0</v>
      </c>
      <c r="AD77" s="34"/>
      <c r="AE77" s="33">
        <f t="shared" si="1"/>
        <v>32876</v>
      </c>
    </row>
    <row r="78" spans="1:31" ht="12.75" customHeight="1">
      <c r="A78" s="1" t="s">
        <v>134</v>
      </c>
      <c r="C78" s="1" t="s">
        <v>442</v>
      </c>
      <c r="E78" s="34">
        <v>181868</v>
      </c>
      <c r="F78" s="34"/>
      <c r="G78" s="34">
        <v>0</v>
      </c>
      <c r="H78" s="34"/>
      <c r="I78" s="34">
        <v>9392</v>
      </c>
      <c r="J78" s="34"/>
      <c r="K78" s="34">
        <v>0</v>
      </c>
      <c r="L78" s="34"/>
      <c r="M78" s="34">
        <v>0</v>
      </c>
      <c r="N78" s="34"/>
      <c r="O78" s="34">
        <v>0</v>
      </c>
      <c r="P78" s="34"/>
      <c r="Q78" s="34">
        <v>126221</v>
      </c>
      <c r="R78" s="34"/>
      <c r="S78" s="34">
        <v>0</v>
      </c>
      <c r="T78" s="34"/>
      <c r="U78" s="34">
        <v>0</v>
      </c>
      <c r="V78" s="34"/>
      <c r="W78" s="34">
        <v>0</v>
      </c>
      <c r="X78" s="34"/>
      <c r="Y78" s="34">
        <v>0</v>
      </c>
      <c r="Z78" s="34"/>
      <c r="AA78" s="34">
        <v>0</v>
      </c>
      <c r="AB78" s="32"/>
      <c r="AC78" s="34">
        <v>0</v>
      </c>
      <c r="AD78" s="34"/>
      <c r="AE78" s="33">
        <f t="shared" si="1"/>
        <v>317481</v>
      </c>
    </row>
    <row r="79" spans="1:31" ht="12.75" customHeight="1">
      <c r="A79" s="1" t="s">
        <v>135</v>
      </c>
      <c r="C79" s="1" t="s">
        <v>94</v>
      </c>
      <c r="E79" s="34">
        <v>63193</v>
      </c>
      <c r="F79" s="34"/>
      <c r="G79" s="34">
        <v>9913</v>
      </c>
      <c r="H79" s="34"/>
      <c r="I79" s="34">
        <v>0</v>
      </c>
      <c r="J79" s="34"/>
      <c r="K79" s="34">
        <v>2878</v>
      </c>
      <c r="L79" s="34"/>
      <c r="M79" s="34">
        <v>522</v>
      </c>
      <c r="N79" s="34"/>
      <c r="O79" s="34">
        <v>11490</v>
      </c>
      <c r="P79" s="34"/>
      <c r="Q79" s="34">
        <v>100558</v>
      </c>
      <c r="R79" s="34"/>
      <c r="S79" s="34">
        <v>0</v>
      </c>
      <c r="T79" s="34"/>
      <c r="U79" s="34">
        <v>0</v>
      </c>
      <c r="V79" s="34"/>
      <c r="W79" s="34">
        <v>0</v>
      </c>
      <c r="X79" s="34"/>
      <c r="Y79" s="34">
        <v>45834</v>
      </c>
      <c r="Z79" s="34"/>
      <c r="AA79" s="34">
        <v>0</v>
      </c>
      <c r="AB79" s="32"/>
      <c r="AC79" s="34">
        <v>0</v>
      </c>
      <c r="AD79" s="34"/>
      <c r="AE79" s="33">
        <f t="shared" si="1"/>
        <v>234388</v>
      </c>
    </row>
    <row r="80" spans="1:31" ht="12.75" customHeight="1">
      <c r="A80" s="1" t="s">
        <v>136</v>
      </c>
      <c r="C80" s="1" t="s">
        <v>137</v>
      </c>
      <c r="E80" s="34">
        <f>547610</f>
        <v>547610</v>
      </c>
      <c r="F80" s="34"/>
      <c r="G80" s="34">
        <v>0</v>
      </c>
      <c r="H80" s="34"/>
      <c r="I80" s="34">
        <v>200</v>
      </c>
      <c r="J80" s="34"/>
      <c r="K80" s="34">
        <f>2467</f>
        <v>2467</v>
      </c>
      <c r="L80" s="34"/>
      <c r="M80" s="34">
        <v>0</v>
      </c>
      <c r="N80" s="34"/>
      <c r="O80" s="34">
        <v>0</v>
      </c>
      <c r="P80" s="34"/>
      <c r="Q80" s="34">
        <f>68023+15659+16081</f>
        <v>99763</v>
      </c>
      <c r="R80" s="34"/>
      <c r="S80" s="34">
        <v>0</v>
      </c>
      <c r="T80" s="34"/>
      <c r="U80" s="34">
        <v>0</v>
      </c>
      <c r="V80" s="34"/>
      <c r="W80" s="34">
        <v>0</v>
      </c>
      <c r="X80" s="34"/>
      <c r="Y80" s="34">
        <v>1691</v>
      </c>
      <c r="Z80" s="34"/>
      <c r="AA80" s="34">
        <v>0</v>
      </c>
      <c r="AB80" s="32"/>
      <c r="AC80" s="34">
        <v>0</v>
      </c>
      <c r="AD80" s="34"/>
      <c r="AE80" s="33">
        <f t="shared" si="1"/>
        <v>651731</v>
      </c>
    </row>
    <row r="81" spans="1:31" ht="12.75" customHeight="1">
      <c r="A81" s="1" t="s">
        <v>515</v>
      </c>
      <c r="C81" s="1" t="s">
        <v>112</v>
      </c>
      <c r="E81" s="34">
        <v>1198652</v>
      </c>
      <c r="F81" s="34"/>
      <c r="G81" s="34">
        <v>5032</v>
      </c>
      <c r="H81" s="34"/>
      <c r="I81" s="34">
        <v>36293</v>
      </c>
      <c r="J81" s="34"/>
      <c r="K81" s="34">
        <v>3711</v>
      </c>
      <c r="L81" s="34"/>
      <c r="M81" s="34">
        <v>97493</v>
      </c>
      <c r="N81" s="34"/>
      <c r="O81" s="34">
        <v>337338</v>
      </c>
      <c r="P81" s="34"/>
      <c r="Q81" s="34">
        <v>943478</v>
      </c>
      <c r="R81" s="34"/>
      <c r="S81" s="34">
        <v>259645</v>
      </c>
      <c r="T81" s="34"/>
      <c r="U81" s="34">
        <v>28332</v>
      </c>
      <c r="V81" s="34"/>
      <c r="W81" s="34">
        <v>0</v>
      </c>
      <c r="X81" s="34"/>
      <c r="Y81" s="34">
        <v>111668</v>
      </c>
      <c r="Z81" s="32"/>
      <c r="AA81" s="34">
        <v>0</v>
      </c>
      <c r="AB81" s="34"/>
      <c r="AC81" s="34">
        <v>69726</v>
      </c>
      <c r="AD81" s="34"/>
      <c r="AE81" s="33">
        <f t="shared" si="1"/>
        <v>3091368</v>
      </c>
    </row>
    <row r="82" spans="1:31" ht="12.75" customHeight="1">
      <c r="A82" s="1" t="s">
        <v>531</v>
      </c>
      <c r="C82" s="1" t="s">
        <v>98</v>
      </c>
      <c r="E82" s="34">
        <v>97515</v>
      </c>
      <c r="F82" s="34"/>
      <c r="G82" s="34">
        <v>2120</v>
      </c>
      <c r="H82" s="34"/>
      <c r="I82" s="34">
        <v>10501</v>
      </c>
      <c r="J82" s="34"/>
      <c r="K82" s="34">
        <v>0</v>
      </c>
      <c r="L82" s="34"/>
      <c r="M82" s="34">
        <v>0</v>
      </c>
      <c r="N82" s="34"/>
      <c r="O82" s="34">
        <v>76919</v>
      </c>
      <c r="P82" s="34"/>
      <c r="Q82" s="34">
        <v>83507</v>
      </c>
      <c r="R82" s="34"/>
      <c r="S82" s="34">
        <v>0</v>
      </c>
      <c r="T82" s="34"/>
      <c r="U82" s="34">
        <v>0</v>
      </c>
      <c r="V82" s="34"/>
      <c r="W82" s="34">
        <v>0</v>
      </c>
      <c r="X82" s="34"/>
      <c r="Y82" s="34">
        <v>117170</v>
      </c>
      <c r="Z82" s="32"/>
      <c r="AA82" s="34">
        <v>0</v>
      </c>
      <c r="AB82" s="34"/>
      <c r="AC82" s="34">
        <v>0</v>
      </c>
      <c r="AD82" s="34"/>
      <c r="AE82" s="33">
        <f t="shared" si="1"/>
        <v>387732</v>
      </c>
    </row>
    <row r="83" spans="1:31" ht="12.75" customHeight="1">
      <c r="A83" s="1" t="s">
        <v>138</v>
      </c>
      <c r="C83" s="1" t="s">
        <v>106</v>
      </c>
      <c r="E83" s="34">
        <v>336002</v>
      </c>
      <c r="F83" s="34"/>
      <c r="G83" s="34">
        <v>7223</v>
      </c>
      <c r="H83" s="34"/>
      <c r="I83" s="34">
        <v>0</v>
      </c>
      <c r="J83" s="34"/>
      <c r="K83" s="34">
        <v>1353</v>
      </c>
      <c r="L83" s="34"/>
      <c r="M83" s="34">
        <v>3870</v>
      </c>
      <c r="N83" s="34"/>
      <c r="O83" s="34">
        <v>25768</v>
      </c>
      <c r="P83" s="34"/>
      <c r="Q83" s="34">
        <v>153810</v>
      </c>
      <c r="R83" s="34"/>
      <c r="S83" s="34">
        <v>10125</v>
      </c>
      <c r="T83" s="34"/>
      <c r="U83" s="34">
        <v>0</v>
      </c>
      <c r="V83" s="34"/>
      <c r="W83" s="34">
        <v>0</v>
      </c>
      <c r="X83" s="34"/>
      <c r="Y83" s="34">
        <v>106000</v>
      </c>
      <c r="Z83" s="34"/>
      <c r="AA83" s="34">
        <v>0</v>
      </c>
      <c r="AB83" s="32"/>
      <c r="AC83" s="34">
        <v>10959</v>
      </c>
      <c r="AD83" s="34"/>
      <c r="AE83" s="33">
        <f t="shared" si="1"/>
        <v>655110</v>
      </c>
    </row>
    <row r="84" spans="1:31" ht="12.75" customHeight="1">
      <c r="A84" s="1" t="s">
        <v>541</v>
      </c>
      <c r="C84" s="1" t="s">
        <v>149</v>
      </c>
      <c r="E84" s="34">
        <v>57881</v>
      </c>
      <c r="F84" s="34"/>
      <c r="G84" s="34">
        <v>0</v>
      </c>
      <c r="H84" s="34"/>
      <c r="I84" s="34">
        <v>0</v>
      </c>
      <c r="J84" s="34"/>
      <c r="K84" s="34">
        <v>0</v>
      </c>
      <c r="L84" s="34"/>
      <c r="M84" s="34">
        <v>7473</v>
      </c>
      <c r="N84" s="34"/>
      <c r="O84" s="34">
        <v>0</v>
      </c>
      <c r="P84" s="34"/>
      <c r="Q84" s="34">
        <v>47768</v>
      </c>
      <c r="R84" s="34"/>
      <c r="S84" s="34">
        <v>0</v>
      </c>
      <c r="T84" s="34"/>
      <c r="U84" s="34">
        <v>0</v>
      </c>
      <c r="V84" s="34"/>
      <c r="W84" s="34">
        <v>0</v>
      </c>
      <c r="X84" s="34"/>
      <c r="Y84" s="34">
        <v>0</v>
      </c>
      <c r="Z84" s="32"/>
      <c r="AA84" s="34">
        <v>0</v>
      </c>
      <c r="AB84" s="34"/>
      <c r="AC84" s="34">
        <v>53</v>
      </c>
      <c r="AD84" s="34"/>
      <c r="AE84" s="33">
        <f t="shared" si="1"/>
        <v>113175</v>
      </c>
    </row>
    <row r="85" spans="1:31" ht="12.75" customHeight="1">
      <c r="A85" s="1" t="s">
        <v>139</v>
      </c>
      <c r="C85" s="1" t="s">
        <v>112</v>
      </c>
      <c r="E85" s="34">
        <v>2626086</v>
      </c>
      <c r="F85" s="34"/>
      <c r="G85" s="34">
        <v>206210</v>
      </c>
      <c r="H85" s="34"/>
      <c r="I85" s="34">
        <v>244585</v>
      </c>
      <c r="J85" s="34"/>
      <c r="K85" s="34">
        <v>100909</v>
      </c>
      <c r="L85" s="34"/>
      <c r="M85" s="34">
        <v>62823</v>
      </c>
      <c r="N85" s="34"/>
      <c r="O85" s="34">
        <v>557236</v>
      </c>
      <c r="P85" s="34"/>
      <c r="Q85" s="34">
        <v>1185493</v>
      </c>
      <c r="R85" s="34"/>
      <c r="S85" s="34">
        <v>0</v>
      </c>
      <c r="T85" s="34"/>
      <c r="U85" s="34">
        <v>0</v>
      </c>
      <c r="V85" s="34"/>
      <c r="W85" s="34">
        <v>0</v>
      </c>
      <c r="X85" s="34"/>
      <c r="Y85" s="34">
        <v>2189</v>
      </c>
      <c r="Z85" s="34"/>
      <c r="AA85" s="34">
        <v>8055</v>
      </c>
      <c r="AB85" s="32"/>
      <c r="AC85" s="34">
        <v>297658</v>
      </c>
      <c r="AD85" s="34"/>
      <c r="AE85" s="33">
        <f t="shared" si="1"/>
        <v>5291244</v>
      </c>
    </row>
    <row r="86" spans="1:31" ht="12.75" customHeight="1">
      <c r="A86" s="1" t="s">
        <v>466</v>
      </c>
      <c r="C86" s="1" t="s">
        <v>100</v>
      </c>
      <c r="E86" s="34">
        <v>25827</v>
      </c>
      <c r="F86" s="34"/>
      <c r="G86" s="34">
        <v>3871</v>
      </c>
      <c r="H86" s="34"/>
      <c r="I86" s="34">
        <v>2071</v>
      </c>
      <c r="J86" s="34"/>
      <c r="K86" s="34">
        <v>25</v>
      </c>
      <c r="L86" s="34"/>
      <c r="M86" s="34">
        <v>6016</v>
      </c>
      <c r="N86" s="34"/>
      <c r="O86" s="34">
        <v>23669</v>
      </c>
      <c r="P86" s="34"/>
      <c r="Q86" s="34">
        <v>48271</v>
      </c>
      <c r="R86" s="34"/>
      <c r="S86" s="34">
        <v>26302</v>
      </c>
      <c r="T86" s="34"/>
      <c r="U86" s="34">
        <v>10311</v>
      </c>
      <c r="V86" s="34"/>
      <c r="W86" s="34">
        <v>27889</v>
      </c>
      <c r="X86" s="34"/>
      <c r="Y86" s="34">
        <v>6096</v>
      </c>
      <c r="Z86" s="32"/>
      <c r="AA86" s="34">
        <v>0</v>
      </c>
      <c r="AB86" s="34"/>
      <c r="AC86" s="34">
        <v>445</v>
      </c>
      <c r="AD86" s="34"/>
      <c r="AE86" s="33">
        <f t="shared" si="1"/>
        <v>180793</v>
      </c>
    </row>
    <row r="87" spans="1:31" ht="12.75" customHeight="1">
      <c r="A87" s="1" t="s">
        <v>677</v>
      </c>
      <c r="C87" s="1" t="s">
        <v>82</v>
      </c>
      <c r="E87" s="34">
        <v>17268</v>
      </c>
      <c r="F87" s="34"/>
      <c r="G87" s="34">
        <v>26</v>
      </c>
      <c r="H87" s="34"/>
      <c r="I87" s="34">
        <v>0</v>
      </c>
      <c r="J87" s="34"/>
      <c r="K87" s="34">
        <v>0</v>
      </c>
      <c r="L87" s="34"/>
      <c r="M87" s="34">
        <v>375</v>
      </c>
      <c r="N87" s="34"/>
      <c r="O87" s="34">
        <v>0</v>
      </c>
      <c r="P87" s="34"/>
      <c r="Q87" s="34">
        <v>5916</v>
      </c>
      <c r="R87" s="34"/>
      <c r="S87" s="34">
        <v>14682</v>
      </c>
      <c r="T87" s="34"/>
      <c r="U87" s="34">
        <v>971</v>
      </c>
      <c r="V87" s="34"/>
      <c r="W87" s="34">
        <v>0</v>
      </c>
      <c r="X87" s="34"/>
      <c r="Y87" s="34">
        <v>0</v>
      </c>
      <c r="Z87" s="32"/>
      <c r="AA87" s="34">
        <v>0</v>
      </c>
      <c r="AB87" s="34"/>
      <c r="AC87" s="34">
        <v>0</v>
      </c>
      <c r="AD87" s="34"/>
      <c r="AE87" s="33">
        <f t="shared" si="1"/>
        <v>39238</v>
      </c>
    </row>
    <row r="88" spans="1:31" ht="12.75" customHeight="1">
      <c r="A88" s="1" t="s">
        <v>140</v>
      </c>
      <c r="C88" s="1" t="s">
        <v>71</v>
      </c>
      <c r="E88" s="34">
        <v>25980</v>
      </c>
      <c r="F88" s="34"/>
      <c r="G88" s="34">
        <v>0</v>
      </c>
      <c r="H88" s="34"/>
      <c r="I88" s="34">
        <v>0</v>
      </c>
      <c r="J88" s="34"/>
      <c r="K88" s="34">
        <v>0</v>
      </c>
      <c r="L88" s="34"/>
      <c r="M88" s="34">
        <v>0</v>
      </c>
      <c r="N88" s="34"/>
      <c r="O88" s="34">
        <v>886</v>
      </c>
      <c r="P88" s="34"/>
      <c r="Q88" s="34">
        <v>61306</v>
      </c>
      <c r="R88" s="34"/>
      <c r="S88" s="34">
        <v>0</v>
      </c>
      <c r="T88" s="34"/>
      <c r="U88" s="34">
        <v>0</v>
      </c>
      <c r="V88" s="34"/>
      <c r="W88" s="34">
        <v>0</v>
      </c>
      <c r="X88" s="34"/>
      <c r="Y88" s="34">
        <v>0</v>
      </c>
      <c r="Z88" s="34"/>
      <c r="AA88" s="34">
        <v>0</v>
      </c>
      <c r="AB88" s="32"/>
      <c r="AC88" s="34">
        <v>0</v>
      </c>
      <c r="AD88" s="34"/>
      <c r="AE88" s="33">
        <f t="shared" si="1"/>
        <v>88172</v>
      </c>
    </row>
    <row r="89" spans="1:31" ht="12.75" customHeight="1">
      <c r="A89" s="1" t="s">
        <v>613</v>
      </c>
      <c r="C89" s="1" t="s">
        <v>231</v>
      </c>
      <c r="E89" s="34">
        <v>900</v>
      </c>
      <c r="F89" s="34"/>
      <c r="G89" s="34">
        <v>6453</v>
      </c>
      <c r="H89" s="34"/>
      <c r="I89" s="34">
        <v>10120</v>
      </c>
      <c r="J89" s="34"/>
      <c r="K89" s="34">
        <v>22404</v>
      </c>
      <c r="L89" s="34"/>
      <c r="M89" s="34">
        <v>0</v>
      </c>
      <c r="N89" s="34"/>
      <c r="O89" s="34">
        <v>0</v>
      </c>
      <c r="P89" s="34"/>
      <c r="Q89" s="34">
        <v>155688</v>
      </c>
      <c r="R89" s="34"/>
      <c r="S89" s="34">
        <v>0</v>
      </c>
      <c r="T89" s="34"/>
      <c r="U89" s="34">
        <v>0</v>
      </c>
      <c r="V89" s="34"/>
      <c r="W89" s="34">
        <v>0</v>
      </c>
      <c r="X89" s="34"/>
      <c r="Y89" s="34">
        <v>130500</v>
      </c>
      <c r="Z89" s="32"/>
      <c r="AA89" s="34">
        <v>0</v>
      </c>
      <c r="AB89" s="34"/>
      <c r="AC89" s="34">
        <v>0</v>
      </c>
      <c r="AD89" s="34"/>
      <c r="AE89" s="33">
        <f t="shared" si="1"/>
        <v>326065</v>
      </c>
    </row>
    <row r="90" spans="1:31" ht="12.75" customHeight="1">
      <c r="A90" s="1" t="s">
        <v>461</v>
      </c>
      <c r="C90" s="1" t="s">
        <v>177</v>
      </c>
      <c r="E90" s="34">
        <v>47603</v>
      </c>
      <c r="F90" s="34"/>
      <c r="G90" s="34">
        <v>1510</v>
      </c>
      <c r="H90" s="34"/>
      <c r="I90" s="34">
        <v>6016</v>
      </c>
      <c r="J90" s="34"/>
      <c r="K90" s="34">
        <v>0</v>
      </c>
      <c r="L90" s="34"/>
      <c r="M90" s="34">
        <v>17828</v>
      </c>
      <c r="N90" s="34"/>
      <c r="O90" s="34">
        <v>1700</v>
      </c>
      <c r="P90" s="34"/>
      <c r="Q90" s="34">
        <v>40468</v>
      </c>
      <c r="R90" s="34"/>
      <c r="S90" s="34">
        <v>0</v>
      </c>
      <c r="T90" s="34"/>
      <c r="U90" s="34">
        <v>0</v>
      </c>
      <c r="V90" s="34"/>
      <c r="W90" s="34">
        <v>0</v>
      </c>
      <c r="X90" s="34"/>
      <c r="Y90" s="34">
        <v>0</v>
      </c>
      <c r="Z90" s="32"/>
      <c r="AA90" s="34">
        <v>0</v>
      </c>
      <c r="AB90" s="34"/>
      <c r="AC90" s="34">
        <v>0</v>
      </c>
      <c r="AD90" s="34"/>
      <c r="AE90" s="33">
        <f t="shared" si="1"/>
        <v>115125</v>
      </c>
    </row>
    <row r="91" spans="1:31" ht="12.75" customHeight="1">
      <c r="A91" s="1" t="s">
        <v>760</v>
      </c>
      <c r="C91" s="1" t="s">
        <v>84</v>
      </c>
      <c r="E91" s="34">
        <v>15</v>
      </c>
      <c r="F91" s="34"/>
      <c r="G91" s="34">
        <v>0</v>
      </c>
      <c r="H91" s="34"/>
      <c r="I91" s="34">
        <v>0</v>
      </c>
      <c r="J91" s="34"/>
      <c r="K91" s="34">
        <v>0</v>
      </c>
      <c r="L91" s="34"/>
      <c r="M91" s="34">
        <v>4956</v>
      </c>
      <c r="N91" s="34"/>
      <c r="O91" s="34">
        <v>0</v>
      </c>
      <c r="P91" s="34"/>
      <c r="Q91" s="34">
        <v>23544</v>
      </c>
      <c r="R91" s="34"/>
      <c r="S91" s="34">
        <v>0</v>
      </c>
      <c r="T91" s="34"/>
      <c r="U91" s="34">
        <v>0</v>
      </c>
      <c r="V91" s="34"/>
      <c r="W91" s="34">
        <v>6000</v>
      </c>
      <c r="X91" s="34"/>
      <c r="Y91" s="34">
        <v>0</v>
      </c>
      <c r="Z91" s="32"/>
      <c r="AA91" s="34">
        <v>8580</v>
      </c>
      <c r="AB91" s="34"/>
      <c r="AC91" s="34">
        <v>0</v>
      </c>
      <c r="AD91" s="34"/>
      <c r="AE91" s="33">
        <f t="shared" si="1"/>
        <v>43095</v>
      </c>
    </row>
    <row r="92" spans="1:31" ht="12.75" customHeight="1">
      <c r="A92" s="1" t="s">
        <v>141</v>
      </c>
      <c r="C92" s="1" t="s">
        <v>142</v>
      </c>
      <c r="E92" s="34">
        <v>2322</v>
      </c>
      <c r="F92" s="34"/>
      <c r="G92" s="34">
        <v>66</v>
      </c>
      <c r="H92" s="34"/>
      <c r="I92" s="34">
        <v>2536</v>
      </c>
      <c r="J92" s="34"/>
      <c r="K92" s="34">
        <v>32</v>
      </c>
      <c r="L92" s="34"/>
      <c r="M92" s="34">
        <v>5400</v>
      </c>
      <c r="N92" s="34"/>
      <c r="O92" s="34">
        <v>0</v>
      </c>
      <c r="P92" s="34"/>
      <c r="Q92" s="34">
        <v>12728</v>
      </c>
      <c r="R92" s="34"/>
      <c r="S92" s="34">
        <v>0</v>
      </c>
      <c r="T92" s="34"/>
      <c r="U92" s="34">
        <v>0</v>
      </c>
      <c r="V92" s="34"/>
      <c r="W92" s="34">
        <v>0</v>
      </c>
      <c r="X92" s="34"/>
      <c r="Y92" s="34">
        <v>0</v>
      </c>
      <c r="Z92" s="34"/>
      <c r="AA92" s="34">
        <v>0</v>
      </c>
      <c r="AB92" s="32"/>
      <c r="AC92" s="34">
        <v>0</v>
      </c>
      <c r="AD92" s="34"/>
      <c r="AE92" s="33">
        <f t="shared" si="1"/>
        <v>23084</v>
      </c>
    </row>
    <row r="93" spans="1:31" ht="12.75" customHeight="1">
      <c r="A93" s="1" t="s">
        <v>143</v>
      </c>
      <c r="C93" s="1" t="s">
        <v>435</v>
      </c>
      <c r="E93" s="34">
        <v>6464</v>
      </c>
      <c r="F93" s="34"/>
      <c r="G93" s="34">
        <v>982</v>
      </c>
      <c r="H93" s="34"/>
      <c r="I93" s="34">
        <v>16548</v>
      </c>
      <c r="J93" s="34"/>
      <c r="K93" s="34">
        <v>0</v>
      </c>
      <c r="L93" s="34"/>
      <c r="M93" s="34">
        <v>0</v>
      </c>
      <c r="N93" s="34"/>
      <c r="O93" s="34">
        <v>0</v>
      </c>
      <c r="P93" s="34"/>
      <c r="Q93" s="34">
        <v>18516</v>
      </c>
      <c r="R93" s="34"/>
      <c r="S93" s="34">
        <v>0</v>
      </c>
      <c r="T93" s="34"/>
      <c r="U93" s="34">
        <v>0</v>
      </c>
      <c r="V93" s="34"/>
      <c r="W93" s="34">
        <v>0</v>
      </c>
      <c r="X93" s="34"/>
      <c r="Y93" s="34">
        <v>0</v>
      </c>
      <c r="Z93" s="34"/>
      <c r="AA93" s="34">
        <v>0</v>
      </c>
      <c r="AB93" s="32"/>
      <c r="AC93" s="34">
        <v>0</v>
      </c>
      <c r="AD93" s="34"/>
      <c r="AE93" s="33">
        <f t="shared" si="1"/>
        <v>42510</v>
      </c>
    </row>
    <row r="94" spans="1:31" ht="12.75" customHeight="1">
      <c r="A94" s="1" t="s">
        <v>144</v>
      </c>
      <c r="C94" s="1" t="s">
        <v>145</v>
      </c>
      <c r="E94" s="34">
        <v>0</v>
      </c>
      <c r="F94" s="34"/>
      <c r="G94" s="34">
        <v>0</v>
      </c>
      <c r="H94" s="34"/>
      <c r="I94" s="34">
        <v>12900</v>
      </c>
      <c r="J94" s="34"/>
      <c r="K94" s="34">
        <v>11377</v>
      </c>
      <c r="L94" s="34"/>
      <c r="M94" s="34">
        <v>0</v>
      </c>
      <c r="N94" s="34"/>
      <c r="O94" s="34">
        <v>0</v>
      </c>
      <c r="P94" s="34"/>
      <c r="Q94" s="34">
        <v>131763</v>
      </c>
      <c r="R94" s="34"/>
      <c r="S94" s="34">
        <v>0</v>
      </c>
      <c r="T94" s="34"/>
      <c r="U94" s="34">
        <v>0</v>
      </c>
      <c r="V94" s="34"/>
      <c r="W94" s="34">
        <v>0</v>
      </c>
      <c r="X94" s="34"/>
      <c r="Y94" s="34">
        <v>56900</v>
      </c>
      <c r="Z94" s="34"/>
      <c r="AA94" s="34">
        <v>0</v>
      </c>
      <c r="AB94" s="32"/>
      <c r="AC94" s="34">
        <v>15594</v>
      </c>
      <c r="AD94" s="34"/>
      <c r="AE94" s="33">
        <f t="shared" si="1"/>
        <v>228534</v>
      </c>
    </row>
    <row r="95" spans="1:31" ht="12.75" customHeight="1">
      <c r="A95" s="1" t="s">
        <v>146</v>
      </c>
      <c r="C95" s="1" t="s">
        <v>147</v>
      </c>
      <c r="E95" s="34">
        <v>76166</v>
      </c>
      <c r="F95" s="34"/>
      <c r="G95" s="34">
        <v>0</v>
      </c>
      <c r="H95" s="34"/>
      <c r="I95" s="34">
        <v>302</v>
      </c>
      <c r="J95" s="34"/>
      <c r="K95" s="34">
        <v>1115</v>
      </c>
      <c r="L95" s="34"/>
      <c r="M95" s="34">
        <v>0</v>
      </c>
      <c r="N95" s="34"/>
      <c r="O95" s="34">
        <v>0</v>
      </c>
      <c r="P95" s="34"/>
      <c r="Q95" s="34">
        <v>93136</v>
      </c>
      <c r="R95" s="34"/>
      <c r="S95" s="34">
        <v>12095</v>
      </c>
      <c r="T95" s="34"/>
      <c r="U95" s="34">
        <v>0</v>
      </c>
      <c r="V95" s="34"/>
      <c r="W95" s="34">
        <v>0</v>
      </c>
      <c r="X95" s="34"/>
      <c r="Y95" s="34">
        <v>11939</v>
      </c>
      <c r="Z95" s="34"/>
      <c r="AA95" s="34">
        <v>0</v>
      </c>
      <c r="AB95" s="32"/>
      <c r="AC95" s="34">
        <v>75</v>
      </c>
      <c r="AD95" s="34"/>
      <c r="AE95" s="33">
        <f t="shared" si="1"/>
        <v>194828</v>
      </c>
    </row>
    <row r="96" spans="1:31" ht="12.75" customHeight="1">
      <c r="A96" s="1" t="s">
        <v>752</v>
      </c>
      <c r="C96" s="1" t="s">
        <v>172</v>
      </c>
      <c r="E96" s="34">
        <v>1667</v>
      </c>
      <c r="F96" s="34"/>
      <c r="G96" s="34">
        <v>385</v>
      </c>
      <c r="H96" s="34"/>
      <c r="I96" s="34">
        <v>37</v>
      </c>
      <c r="J96" s="34"/>
      <c r="K96" s="34">
        <v>0</v>
      </c>
      <c r="L96" s="34"/>
      <c r="M96" s="34">
        <v>0</v>
      </c>
      <c r="N96" s="34"/>
      <c r="O96" s="34">
        <v>0</v>
      </c>
      <c r="P96" s="34"/>
      <c r="Q96" s="34">
        <v>5344</v>
      </c>
      <c r="R96" s="34"/>
      <c r="S96" s="34">
        <v>0</v>
      </c>
      <c r="T96" s="34"/>
      <c r="U96" s="34">
        <v>0</v>
      </c>
      <c r="V96" s="34"/>
      <c r="W96" s="34">
        <v>0</v>
      </c>
      <c r="X96" s="34"/>
      <c r="Y96" s="34">
        <v>0</v>
      </c>
      <c r="Z96" s="32"/>
      <c r="AA96" s="34">
        <v>0</v>
      </c>
      <c r="AB96" s="34"/>
      <c r="AC96" s="34">
        <v>0</v>
      </c>
      <c r="AD96" s="34"/>
      <c r="AE96" s="33">
        <f t="shared" si="1"/>
        <v>7433</v>
      </c>
    </row>
    <row r="97" spans="1:31" ht="12.75" customHeight="1">
      <c r="A97" s="1" t="s">
        <v>557</v>
      </c>
      <c r="C97" s="1" t="s">
        <v>199</v>
      </c>
      <c r="E97" s="34">
        <v>370411</v>
      </c>
      <c r="F97" s="34"/>
      <c r="G97" s="34">
        <v>477</v>
      </c>
      <c r="H97" s="34"/>
      <c r="I97" s="34">
        <v>0</v>
      </c>
      <c r="J97" s="34"/>
      <c r="K97" s="34">
        <v>0</v>
      </c>
      <c r="L97" s="34"/>
      <c r="M97" s="34">
        <v>19136</v>
      </c>
      <c r="N97" s="34"/>
      <c r="O97" s="34">
        <v>0</v>
      </c>
      <c r="P97" s="34"/>
      <c r="Q97" s="34">
        <v>218103</v>
      </c>
      <c r="R97" s="34"/>
      <c r="S97" s="34">
        <v>72327</v>
      </c>
      <c r="T97" s="34"/>
      <c r="U97" s="34">
        <v>0</v>
      </c>
      <c r="V97" s="34"/>
      <c r="W97" s="34">
        <v>0</v>
      </c>
      <c r="X97" s="34"/>
      <c r="Y97" s="34">
        <v>109452</v>
      </c>
      <c r="Z97" s="32"/>
      <c r="AA97" s="34">
        <v>0</v>
      </c>
      <c r="AB97" s="34"/>
      <c r="AC97" s="34">
        <v>0</v>
      </c>
      <c r="AD97" s="34"/>
      <c r="AE97" s="33">
        <f t="shared" si="1"/>
        <v>789906</v>
      </c>
    </row>
    <row r="98" spans="1:31" ht="12.75" customHeight="1">
      <c r="A98" s="1" t="s">
        <v>578</v>
      </c>
      <c r="C98" s="1" t="s">
        <v>133</v>
      </c>
      <c r="E98" s="34">
        <v>406837</v>
      </c>
      <c r="F98" s="34"/>
      <c r="G98" s="34">
        <v>14452</v>
      </c>
      <c r="H98" s="34"/>
      <c r="I98" s="34">
        <v>182861</v>
      </c>
      <c r="J98" s="34"/>
      <c r="K98" s="34">
        <v>12194</v>
      </c>
      <c r="L98" s="34"/>
      <c r="M98" s="34">
        <v>0</v>
      </c>
      <c r="N98" s="34"/>
      <c r="O98" s="34">
        <v>154709</v>
      </c>
      <c r="P98" s="34"/>
      <c r="Q98" s="34">
        <v>310969</v>
      </c>
      <c r="R98" s="34"/>
      <c r="S98" s="34">
        <v>4663</v>
      </c>
      <c r="T98" s="34"/>
      <c r="U98" s="34">
        <v>5959</v>
      </c>
      <c r="V98" s="34"/>
      <c r="W98" s="34">
        <v>0</v>
      </c>
      <c r="X98" s="34"/>
      <c r="Y98" s="34">
        <v>0</v>
      </c>
      <c r="Z98" s="32"/>
      <c r="AA98" s="34">
        <v>66000</v>
      </c>
      <c r="AB98" s="34"/>
      <c r="AC98" s="34">
        <v>0</v>
      </c>
      <c r="AD98" s="34"/>
      <c r="AE98" s="33">
        <f t="shared" si="1"/>
        <v>1158644</v>
      </c>
    </row>
    <row r="99" spans="1:31" ht="12.75" customHeight="1">
      <c r="A99" s="1" t="s">
        <v>436</v>
      </c>
      <c r="C99" s="1" t="s">
        <v>104</v>
      </c>
      <c r="E99" s="34">
        <v>129996</v>
      </c>
      <c r="F99" s="34"/>
      <c r="G99" s="34">
        <v>0</v>
      </c>
      <c r="H99" s="34"/>
      <c r="I99" s="34">
        <v>0</v>
      </c>
      <c r="J99" s="34"/>
      <c r="K99" s="34">
        <v>7978</v>
      </c>
      <c r="L99" s="34"/>
      <c r="M99" s="34">
        <v>0</v>
      </c>
      <c r="N99" s="34"/>
      <c r="O99" s="34">
        <v>127262</v>
      </c>
      <c r="P99" s="34"/>
      <c r="Q99" s="34">
        <v>108583</v>
      </c>
      <c r="R99" s="34"/>
      <c r="S99" s="34">
        <v>0</v>
      </c>
      <c r="T99" s="34"/>
      <c r="U99" s="34">
        <v>0</v>
      </c>
      <c r="V99" s="34"/>
      <c r="W99" s="34">
        <v>0</v>
      </c>
      <c r="X99" s="34"/>
      <c r="Y99" s="34">
        <v>0</v>
      </c>
      <c r="Z99" s="32"/>
      <c r="AA99" s="34">
        <v>0</v>
      </c>
      <c r="AB99" s="34"/>
      <c r="AC99" s="34">
        <v>860</v>
      </c>
      <c r="AD99" s="34"/>
      <c r="AE99" s="33">
        <f t="shared" si="1"/>
        <v>374679</v>
      </c>
    </row>
    <row r="100" spans="1:31" ht="12.75" customHeight="1">
      <c r="A100" s="1" t="s">
        <v>635</v>
      </c>
      <c r="C100" s="1" t="s">
        <v>268</v>
      </c>
      <c r="E100" s="34">
        <v>22506</v>
      </c>
      <c r="F100" s="34"/>
      <c r="G100" s="34">
        <v>0</v>
      </c>
      <c r="H100" s="34"/>
      <c r="I100" s="34">
        <v>6019</v>
      </c>
      <c r="J100" s="34"/>
      <c r="K100" s="34">
        <v>2044</v>
      </c>
      <c r="L100" s="34"/>
      <c r="M100" s="34">
        <v>0</v>
      </c>
      <c r="N100" s="34"/>
      <c r="O100" s="34">
        <v>4117</v>
      </c>
      <c r="P100" s="34"/>
      <c r="Q100" s="34">
        <v>55608</v>
      </c>
      <c r="R100" s="34"/>
      <c r="S100" s="34">
        <v>0</v>
      </c>
      <c r="T100" s="34"/>
      <c r="U100" s="34">
        <v>0</v>
      </c>
      <c r="V100" s="34"/>
      <c r="W100" s="34">
        <v>0</v>
      </c>
      <c r="X100" s="34"/>
      <c r="Y100" s="34">
        <v>3292</v>
      </c>
      <c r="Z100" s="32"/>
      <c r="AA100" s="34">
        <v>280</v>
      </c>
      <c r="AB100" s="34"/>
      <c r="AC100" s="34">
        <v>0</v>
      </c>
      <c r="AD100" s="34"/>
      <c r="AE100" s="33">
        <f t="shared" si="1"/>
        <v>93866</v>
      </c>
    </row>
    <row r="101" spans="1:31" ht="12.75" customHeight="1">
      <c r="A101" s="1" t="s">
        <v>695</v>
      </c>
      <c r="C101" s="1" t="s">
        <v>225</v>
      </c>
      <c r="E101" s="34">
        <v>190910</v>
      </c>
      <c r="F101" s="34"/>
      <c r="G101" s="34">
        <v>0</v>
      </c>
      <c r="H101" s="34"/>
      <c r="I101" s="34">
        <v>0</v>
      </c>
      <c r="J101" s="34"/>
      <c r="K101" s="34">
        <v>0</v>
      </c>
      <c r="L101" s="34"/>
      <c r="M101" s="34">
        <v>5000</v>
      </c>
      <c r="N101" s="34"/>
      <c r="O101" s="34">
        <v>0</v>
      </c>
      <c r="P101" s="34"/>
      <c r="Q101" s="34">
        <v>68684</v>
      </c>
      <c r="R101" s="34"/>
      <c r="S101" s="34">
        <v>0</v>
      </c>
      <c r="T101" s="34"/>
      <c r="U101" s="34">
        <v>0</v>
      </c>
      <c r="V101" s="34"/>
      <c r="W101" s="34">
        <v>0</v>
      </c>
      <c r="X101" s="34"/>
      <c r="Y101" s="34">
        <v>313</v>
      </c>
      <c r="Z101" s="32"/>
      <c r="AA101" s="34">
        <v>0</v>
      </c>
      <c r="AB101" s="34"/>
      <c r="AC101" s="34">
        <v>0</v>
      </c>
      <c r="AD101" s="34"/>
      <c r="AE101" s="33">
        <f t="shared" si="1"/>
        <v>264907</v>
      </c>
    </row>
    <row r="102" spans="1:31" ht="12.75" customHeight="1">
      <c r="A102" s="1" t="s">
        <v>148</v>
      </c>
      <c r="C102" s="1" t="s">
        <v>149</v>
      </c>
      <c r="E102" s="34">
        <v>742025</v>
      </c>
      <c r="F102" s="34"/>
      <c r="G102" s="34">
        <v>31096</v>
      </c>
      <c r="H102" s="34"/>
      <c r="I102" s="34">
        <v>151171</v>
      </c>
      <c r="J102" s="34"/>
      <c r="K102" s="34">
        <v>503501</v>
      </c>
      <c r="L102" s="34"/>
      <c r="M102" s="34">
        <v>0</v>
      </c>
      <c r="N102" s="34"/>
      <c r="O102" s="34">
        <v>1192231</v>
      </c>
      <c r="P102" s="34"/>
      <c r="Q102" s="34">
        <v>1566067</v>
      </c>
      <c r="R102" s="34"/>
      <c r="S102" s="34">
        <v>579460</v>
      </c>
      <c r="T102" s="34"/>
      <c r="U102" s="34">
        <v>0</v>
      </c>
      <c r="V102" s="34"/>
      <c r="W102" s="34">
        <v>0</v>
      </c>
      <c r="X102" s="34"/>
      <c r="Y102" s="34">
        <v>845000</v>
      </c>
      <c r="Z102" s="34"/>
      <c r="AA102" s="34">
        <v>0</v>
      </c>
      <c r="AB102" s="32"/>
      <c r="AC102" s="34">
        <v>27500</v>
      </c>
      <c r="AD102" s="34"/>
      <c r="AE102" s="33">
        <f t="shared" si="1"/>
        <v>5638051</v>
      </c>
    </row>
    <row r="103" spans="1:31" ht="12.75" customHeight="1">
      <c r="A103" s="1" t="s">
        <v>664</v>
      </c>
      <c r="C103" s="1" t="s">
        <v>309</v>
      </c>
      <c r="E103" s="34">
        <v>258694</v>
      </c>
      <c r="F103" s="34"/>
      <c r="G103" s="34">
        <v>1109</v>
      </c>
      <c r="H103" s="34"/>
      <c r="I103" s="34">
        <v>0</v>
      </c>
      <c r="J103" s="34"/>
      <c r="K103" s="34">
        <v>3827</v>
      </c>
      <c r="L103" s="34"/>
      <c r="M103" s="34">
        <v>6481</v>
      </c>
      <c r="N103" s="34"/>
      <c r="O103" s="34">
        <v>40218</v>
      </c>
      <c r="P103" s="34"/>
      <c r="Q103" s="34">
        <v>160530</v>
      </c>
      <c r="R103" s="34"/>
      <c r="S103" s="34">
        <v>0</v>
      </c>
      <c r="T103" s="34"/>
      <c r="U103" s="34">
        <v>0</v>
      </c>
      <c r="V103" s="34"/>
      <c r="W103" s="34">
        <v>115</v>
      </c>
      <c r="X103" s="34"/>
      <c r="Y103" s="34">
        <v>6930</v>
      </c>
      <c r="Z103" s="32"/>
      <c r="AA103" s="34">
        <v>0</v>
      </c>
      <c r="AB103" s="34"/>
      <c r="AC103" s="34">
        <v>1483</v>
      </c>
      <c r="AD103" s="34"/>
      <c r="AE103" s="33">
        <f t="shared" si="1"/>
        <v>479387</v>
      </c>
    </row>
    <row r="104" spans="1:31" ht="12.75" customHeight="1">
      <c r="A104" s="1" t="s">
        <v>150</v>
      </c>
      <c r="C104" s="1" t="s">
        <v>151</v>
      </c>
      <c r="E104" s="34">
        <v>640047</v>
      </c>
      <c r="F104" s="34"/>
      <c r="G104" s="34">
        <v>18145</v>
      </c>
      <c r="H104" s="34"/>
      <c r="I104" s="34">
        <v>0</v>
      </c>
      <c r="J104" s="34"/>
      <c r="K104" s="34">
        <v>10631</v>
      </c>
      <c r="L104" s="34"/>
      <c r="M104" s="34">
        <v>29017</v>
      </c>
      <c r="N104" s="34"/>
      <c r="O104" s="34">
        <v>17094</v>
      </c>
      <c r="P104" s="34"/>
      <c r="Q104" s="34">
        <v>317017</v>
      </c>
      <c r="R104" s="34"/>
      <c r="S104" s="34">
        <v>0</v>
      </c>
      <c r="T104" s="34"/>
      <c r="U104" s="34">
        <v>0</v>
      </c>
      <c r="V104" s="34"/>
      <c r="W104" s="34">
        <v>0</v>
      </c>
      <c r="X104" s="34"/>
      <c r="Y104" s="34">
        <v>386802</v>
      </c>
      <c r="Z104" s="34"/>
      <c r="AA104" s="34">
        <v>0</v>
      </c>
      <c r="AB104" s="32"/>
      <c r="AC104" s="34">
        <v>0</v>
      </c>
      <c r="AD104" s="34"/>
      <c r="AE104" s="33">
        <f t="shared" si="1"/>
        <v>1418753</v>
      </c>
    </row>
    <row r="105" spans="1:31" ht="12.75" customHeight="1">
      <c r="A105" s="1" t="s">
        <v>153</v>
      </c>
      <c r="C105" s="1" t="s">
        <v>98</v>
      </c>
      <c r="E105" s="34">
        <v>62936</v>
      </c>
      <c r="F105" s="34"/>
      <c r="G105" s="34">
        <v>2016</v>
      </c>
      <c r="H105" s="34"/>
      <c r="I105" s="34">
        <v>3561</v>
      </c>
      <c r="J105" s="34"/>
      <c r="K105" s="34">
        <v>3781</v>
      </c>
      <c r="L105" s="34"/>
      <c r="M105" s="34">
        <v>0</v>
      </c>
      <c r="N105" s="34"/>
      <c r="O105" s="34">
        <v>19022</v>
      </c>
      <c r="P105" s="34"/>
      <c r="Q105" s="34">
        <v>76327</v>
      </c>
      <c r="R105" s="34"/>
      <c r="S105" s="34">
        <v>0</v>
      </c>
      <c r="T105" s="34"/>
      <c r="U105" s="34">
        <v>0</v>
      </c>
      <c r="V105" s="34"/>
      <c r="W105" s="34">
        <v>19591</v>
      </c>
      <c r="X105" s="34"/>
      <c r="Y105" s="34">
        <v>500</v>
      </c>
      <c r="Z105" s="32"/>
      <c r="AA105" s="34">
        <v>1335</v>
      </c>
      <c r="AB105" s="34"/>
      <c r="AC105" s="34">
        <v>1169</v>
      </c>
      <c r="AD105" s="34"/>
      <c r="AE105" s="33">
        <f t="shared" si="1"/>
        <v>190238</v>
      </c>
    </row>
    <row r="106" spans="1:31" ht="12.75" customHeight="1">
      <c r="A106" s="1" t="s">
        <v>152</v>
      </c>
      <c r="C106" s="1" t="s">
        <v>153</v>
      </c>
      <c r="E106" s="34">
        <v>503628</v>
      </c>
      <c r="F106" s="34"/>
      <c r="G106" s="34">
        <v>16724</v>
      </c>
      <c r="H106" s="34"/>
      <c r="I106" s="34">
        <v>34461</v>
      </c>
      <c r="J106" s="34"/>
      <c r="K106" s="34">
        <v>5125</v>
      </c>
      <c r="L106" s="34"/>
      <c r="M106" s="34">
        <v>0</v>
      </c>
      <c r="N106" s="34"/>
      <c r="O106" s="34">
        <v>162446</v>
      </c>
      <c r="P106" s="34"/>
      <c r="Q106" s="34">
        <v>230992</v>
      </c>
      <c r="R106" s="34"/>
      <c r="S106" s="34">
        <v>24102</v>
      </c>
      <c r="T106" s="34"/>
      <c r="U106" s="34">
        <v>34517</v>
      </c>
      <c r="V106" s="34"/>
      <c r="W106" s="34">
        <v>19560</v>
      </c>
      <c r="X106" s="34"/>
      <c r="Y106" s="34">
        <v>29754</v>
      </c>
      <c r="Z106" s="34"/>
      <c r="AA106" s="34">
        <v>0</v>
      </c>
      <c r="AB106" s="32"/>
      <c r="AC106" s="34">
        <v>46500</v>
      </c>
      <c r="AD106" s="34"/>
      <c r="AE106" s="33">
        <f t="shared" si="1"/>
        <v>1107809</v>
      </c>
    </row>
    <row r="107" spans="1:31" ht="12.75" customHeight="1">
      <c r="A107" s="1" t="s">
        <v>154</v>
      </c>
      <c r="C107" s="1" t="s">
        <v>155</v>
      </c>
      <c r="E107" s="34">
        <v>3788</v>
      </c>
      <c r="F107" s="34"/>
      <c r="G107" s="34">
        <v>2340</v>
      </c>
      <c r="H107" s="34"/>
      <c r="I107" s="34">
        <v>125</v>
      </c>
      <c r="J107" s="34"/>
      <c r="K107" s="34">
        <v>0</v>
      </c>
      <c r="L107" s="34"/>
      <c r="M107" s="34">
        <v>0</v>
      </c>
      <c r="N107" s="34"/>
      <c r="O107" s="34">
        <v>8467</v>
      </c>
      <c r="P107" s="34"/>
      <c r="Q107" s="34">
        <v>17961</v>
      </c>
      <c r="R107" s="34"/>
      <c r="S107" s="34">
        <v>0</v>
      </c>
      <c r="T107" s="34"/>
      <c r="U107" s="34">
        <v>0</v>
      </c>
      <c r="V107" s="34"/>
      <c r="W107" s="34">
        <v>0</v>
      </c>
      <c r="X107" s="34"/>
      <c r="Y107" s="34">
        <v>3631</v>
      </c>
      <c r="Z107" s="34"/>
      <c r="AA107" s="34">
        <v>0</v>
      </c>
      <c r="AB107" s="32"/>
      <c r="AC107" s="34">
        <v>0</v>
      </c>
      <c r="AD107" s="34"/>
      <c r="AE107" s="33">
        <f t="shared" si="1"/>
        <v>36312</v>
      </c>
    </row>
    <row r="108" spans="1:31" ht="12.75" customHeight="1">
      <c r="A108" s="1" t="s">
        <v>529</v>
      </c>
      <c r="C108" s="1" t="s">
        <v>261</v>
      </c>
      <c r="E108" s="34">
        <v>117572</v>
      </c>
      <c r="F108" s="34"/>
      <c r="G108" s="34">
        <v>970</v>
      </c>
      <c r="H108" s="34"/>
      <c r="I108" s="34">
        <v>3529</v>
      </c>
      <c r="J108" s="34"/>
      <c r="K108" s="34">
        <v>565</v>
      </c>
      <c r="L108" s="34"/>
      <c r="M108" s="34">
        <v>77</v>
      </c>
      <c r="N108" s="34"/>
      <c r="O108" s="34">
        <v>456</v>
      </c>
      <c r="P108" s="34"/>
      <c r="Q108" s="34">
        <v>89978</v>
      </c>
      <c r="R108" s="34"/>
      <c r="S108" s="34">
        <v>0</v>
      </c>
      <c r="T108" s="34"/>
      <c r="U108" s="34">
        <v>0</v>
      </c>
      <c r="V108" s="34"/>
      <c r="W108" s="34">
        <v>0</v>
      </c>
      <c r="X108" s="34"/>
      <c r="Y108" s="34">
        <v>0</v>
      </c>
      <c r="Z108" s="32"/>
      <c r="AA108" s="34">
        <v>0</v>
      </c>
      <c r="AB108" s="34"/>
      <c r="AC108" s="34">
        <v>0</v>
      </c>
      <c r="AD108" s="34"/>
      <c r="AE108" s="33">
        <f t="shared" si="1"/>
        <v>213147</v>
      </c>
    </row>
    <row r="109" spans="1:31" ht="12.75" customHeight="1">
      <c r="A109" s="1" t="s">
        <v>520</v>
      </c>
      <c r="C109" s="1" t="s">
        <v>78</v>
      </c>
      <c r="E109" s="34">
        <v>8082</v>
      </c>
      <c r="F109" s="34"/>
      <c r="G109" s="34">
        <v>0</v>
      </c>
      <c r="H109" s="34"/>
      <c r="I109" s="34">
        <v>4660</v>
      </c>
      <c r="J109" s="34"/>
      <c r="K109" s="34">
        <v>0</v>
      </c>
      <c r="L109" s="34"/>
      <c r="M109" s="34">
        <v>11127</v>
      </c>
      <c r="N109" s="34"/>
      <c r="O109" s="34">
        <v>1291</v>
      </c>
      <c r="P109" s="34"/>
      <c r="Q109" s="34">
        <v>14728</v>
      </c>
      <c r="R109" s="34"/>
      <c r="S109" s="34">
        <v>0</v>
      </c>
      <c r="T109" s="34"/>
      <c r="U109" s="34">
        <v>0</v>
      </c>
      <c r="V109" s="34"/>
      <c r="W109" s="34">
        <v>0</v>
      </c>
      <c r="X109" s="34"/>
      <c r="Y109" s="34">
        <v>0</v>
      </c>
      <c r="Z109" s="32"/>
      <c r="AA109" s="34">
        <v>0</v>
      </c>
      <c r="AB109" s="34"/>
      <c r="AC109" s="34">
        <v>0</v>
      </c>
      <c r="AD109" s="34"/>
      <c r="AE109" s="33">
        <f t="shared" si="1"/>
        <v>39888</v>
      </c>
    </row>
    <row r="110" spans="1:31" ht="12.75" customHeight="1">
      <c r="A110" s="1" t="s">
        <v>487</v>
      </c>
      <c r="C110" s="1" t="s">
        <v>194</v>
      </c>
      <c r="E110" s="34">
        <v>8810</v>
      </c>
      <c r="F110" s="34"/>
      <c r="G110" s="34">
        <v>0</v>
      </c>
      <c r="H110" s="34"/>
      <c r="I110" s="34">
        <v>299</v>
      </c>
      <c r="J110" s="34"/>
      <c r="K110" s="34">
        <v>0</v>
      </c>
      <c r="L110" s="34"/>
      <c r="M110" s="34">
        <v>0</v>
      </c>
      <c r="N110" s="34"/>
      <c r="O110" s="34">
        <v>0</v>
      </c>
      <c r="P110" s="34"/>
      <c r="Q110" s="34">
        <v>51962</v>
      </c>
      <c r="R110" s="34"/>
      <c r="S110" s="34">
        <v>0</v>
      </c>
      <c r="T110" s="34"/>
      <c r="U110" s="34">
        <v>0</v>
      </c>
      <c r="V110" s="34"/>
      <c r="W110" s="34">
        <v>0</v>
      </c>
      <c r="X110" s="34"/>
      <c r="Y110" s="34">
        <v>0</v>
      </c>
      <c r="Z110" s="32"/>
      <c r="AA110" s="34">
        <v>0</v>
      </c>
      <c r="AB110" s="34"/>
      <c r="AC110" s="34">
        <v>1909</v>
      </c>
      <c r="AD110" s="34"/>
      <c r="AE110" s="33">
        <f t="shared" si="1"/>
        <v>62980</v>
      </c>
    </row>
    <row r="111" spans="1:31" ht="12.75" customHeight="1">
      <c r="A111" s="1" t="s">
        <v>678</v>
      </c>
      <c r="C111" s="1" t="s">
        <v>82</v>
      </c>
      <c r="E111" s="34">
        <v>767</v>
      </c>
      <c r="F111" s="34"/>
      <c r="G111" s="34">
        <v>633</v>
      </c>
      <c r="H111" s="34"/>
      <c r="I111" s="34">
        <v>377</v>
      </c>
      <c r="J111" s="34"/>
      <c r="K111" s="34">
        <v>0</v>
      </c>
      <c r="L111" s="34"/>
      <c r="M111" s="34">
        <v>0</v>
      </c>
      <c r="N111" s="34"/>
      <c r="O111" s="34">
        <v>417</v>
      </c>
      <c r="P111" s="34"/>
      <c r="Q111" s="34">
        <v>17310</v>
      </c>
      <c r="R111" s="34"/>
      <c r="S111" s="34">
        <v>0</v>
      </c>
      <c r="T111" s="34"/>
      <c r="U111" s="34">
        <v>0</v>
      </c>
      <c r="V111" s="34"/>
      <c r="W111" s="34">
        <v>0</v>
      </c>
      <c r="X111" s="34"/>
      <c r="Y111" s="34">
        <v>0</v>
      </c>
      <c r="Z111" s="32"/>
      <c r="AA111" s="34">
        <v>0</v>
      </c>
      <c r="AB111" s="34"/>
      <c r="AC111" s="34">
        <v>0</v>
      </c>
      <c r="AD111" s="34"/>
      <c r="AE111" s="33">
        <f t="shared" si="1"/>
        <v>19504</v>
      </c>
    </row>
    <row r="112" spans="1:31" ht="12.75" customHeight="1">
      <c r="A112" s="1" t="s">
        <v>156</v>
      </c>
      <c r="C112" s="1" t="s">
        <v>157</v>
      </c>
      <c r="E112" s="34">
        <v>33745</v>
      </c>
      <c r="F112" s="34"/>
      <c r="G112" s="34">
        <v>1159</v>
      </c>
      <c r="H112" s="34"/>
      <c r="I112" s="34">
        <v>14999</v>
      </c>
      <c r="J112" s="34"/>
      <c r="K112" s="34">
        <v>3832</v>
      </c>
      <c r="L112" s="34"/>
      <c r="M112" s="34">
        <v>4510</v>
      </c>
      <c r="N112" s="34"/>
      <c r="O112" s="34">
        <v>13398</v>
      </c>
      <c r="P112" s="34"/>
      <c r="Q112" s="34">
        <v>271353</v>
      </c>
      <c r="R112" s="34"/>
      <c r="S112" s="34">
        <v>0</v>
      </c>
      <c r="T112" s="34"/>
      <c r="U112" s="34">
        <v>0</v>
      </c>
      <c r="V112" s="34"/>
      <c r="W112" s="34">
        <v>0</v>
      </c>
      <c r="X112" s="34"/>
      <c r="Y112" s="34">
        <v>275716</v>
      </c>
      <c r="Z112" s="34"/>
      <c r="AA112" s="34">
        <v>0</v>
      </c>
      <c r="AB112" s="32"/>
      <c r="AC112" s="34">
        <v>0</v>
      </c>
      <c r="AD112" s="34"/>
      <c r="AE112" s="33">
        <f t="shared" si="1"/>
        <v>618712</v>
      </c>
    </row>
    <row r="113" spans="1:31" ht="12.75" customHeight="1">
      <c r="A113" s="1" t="s">
        <v>604</v>
      </c>
      <c r="C113" s="1" t="s">
        <v>182</v>
      </c>
      <c r="E113" s="34">
        <v>103818</v>
      </c>
      <c r="F113" s="34"/>
      <c r="G113" s="34">
        <v>1960</v>
      </c>
      <c r="H113" s="34"/>
      <c r="I113" s="34">
        <v>500</v>
      </c>
      <c r="J113" s="34"/>
      <c r="K113" s="34">
        <v>15972</v>
      </c>
      <c r="L113" s="34"/>
      <c r="M113" s="34">
        <v>0</v>
      </c>
      <c r="N113" s="34"/>
      <c r="O113" s="34">
        <v>54699</v>
      </c>
      <c r="P113" s="34"/>
      <c r="Q113" s="34">
        <v>197157</v>
      </c>
      <c r="R113" s="34"/>
      <c r="S113" s="34">
        <v>97551</v>
      </c>
      <c r="T113" s="34"/>
      <c r="U113" s="34">
        <v>0</v>
      </c>
      <c r="V113" s="34"/>
      <c r="W113" s="34">
        <v>0</v>
      </c>
      <c r="X113" s="34"/>
      <c r="Y113" s="34">
        <v>14900</v>
      </c>
      <c r="Z113" s="32"/>
      <c r="AA113" s="34">
        <v>0</v>
      </c>
      <c r="AB113" s="34"/>
      <c r="AC113" s="34">
        <v>0</v>
      </c>
      <c r="AD113" s="34"/>
      <c r="AE113" s="33">
        <f t="shared" si="1"/>
        <v>486557</v>
      </c>
    </row>
    <row r="114" spans="1:31" ht="12.75" customHeight="1">
      <c r="A114" s="1" t="s">
        <v>550</v>
      </c>
      <c r="C114" s="1" t="s">
        <v>210</v>
      </c>
      <c r="E114" s="34">
        <v>38078</v>
      </c>
      <c r="F114" s="34"/>
      <c r="G114" s="34">
        <v>0</v>
      </c>
      <c r="H114" s="34"/>
      <c r="I114" s="34">
        <v>1303</v>
      </c>
      <c r="J114" s="34"/>
      <c r="K114" s="34">
        <v>7200</v>
      </c>
      <c r="L114" s="34"/>
      <c r="M114" s="34">
        <v>0</v>
      </c>
      <c r="N114" s="34"/>
      <c r="O114" s="34">
        <v>94</v>
      </c>
      <c r="P114" s="34"/>
      <c r="Q114" s="34">
        <v>36187</v>
      </c>
      <c r="R114" s="34"/>
      <c r="S114" s="34">
        <v>0</v>
      </c>
      <c r="T114" s="34"/>
      <c r="U114" s="34">
        <v>3401</v>
      </c>
      <c r="V114" s="34"/>
      <c r="W114" s="34">
        <v>1388</v>
      </c>
      <c r="X114" s="34"/>
      <c r="Y114" s="34">
        <v>0</v>
      </c>
      <c r="Z114" s="32"/>
      <c r="AA114" s="34">
        <v>3065</v>
      </c>
      <c r="AB114" s="34"/>
      <c r="AC114" s="34">
        <v>0</v>
      </c>
      <c r="AD114" s="34"/>
      <c r="AE114" s="33">
        <f t="shared" si="1"/>
        <v>90716</v>
      </c>
    </row>
    <row r="115" spans="1:31" ht="12.75" customHeight="1">
      <c r="A115" s="1" t="s">
        <v>158</v>
      </c>
      <c r="C115" s="1" t="s">
        <v>112</v>
      </c>
      <c r="E115" s="34">
        <v>2060792</v>
      </c>
      <c r="F115" s="34"/>
      <c r="G115" s="34">
        <v>364370</v>
      </c>
      <c r="H115" s="34"/>
      <c r="I115" s="34">
        <v>59928</v>
      </c>
      <c r="J115" s="34"/>
      <c r="K115" s="34">
        <v>173374</v>
      </c>
      <c r="L115" s="34"/>
      <c r="M115" s="34">
        <v>298781</v>
      </c>
      <c r="N115" s="34"/>
      <c r="O115" s="34">
        <v>20068</v>
      </c>
      <c r="P115" s="34"/>
      <c r="Q115" s="34">
        <v>973672</v>
      </c>
      <c r="R115" s="34"/>
      <c r="S115" s="34">
        <v>164602</v>
      </c>
      <c r="T115" s="34"/>
      <c r="U115" s="34">
        <v>0</v>
      </c>
      <c r="V115" s="34"/>
      <c r="W115" s="34">
        <v>0</v>
      </c>
      <c r="X115" s="34"/>
      <c r="Y115" s="34">
        <v>250000</v>
      </c>
      <c r="Z115" s="34"/>
      <c r="AA115" s="34">
        <v>0</v>
      </c>
      <c r="AB115" s="32"/>
      <c r="AC115" s="34">
        <v>8683</v>
      </c>
      <c r="AD115" s="34"/>
      <c r="AE115" s="33">
        <f t="shared" si="1"/>
        <v>4374270</v>
      </c>
    </row>
    <row r="116" spans="1:31" ht="12.75" customHeight="1">
      <c r="A116" s="1" t="s">
        <v>159</v>
      </c>
      <c r="C116" s="1" t="s">
        <v>160</v>
      </c>
      <c r="E116" s="34">
        <v>3445</v>
      </c>
      <c r="F116" s="34"/>
      <c r="G116" s="34">
        <v>372</v>
      </c>
      <c r="H116" s="34"/>
      <c r="I116" s="34">
        <v>0</v>
      </c>
      <c r="J116" s="34"/>
      <c r="K116" s="34">
        <v>0</v>
      </c>
      <c r="L116" s="34"/>
      <c r="M116" s="34">
        <v>0</v>
      </c>
      <c r="N116" s="34"/>
      <c r="O116" s="34">
        <v>0</v>
      </c>
      <c r="P116" s="34"/>
      <c r="Q116" s="34">
        <v>15116</v>
      </c>
      <c r="R116" s="34"/>
      <c r="S116" s="34">
        <v>0</v>
      </c>
      <c r="T116" s="34"/>
      <c r="U116" s="34">
        <v>0</v>
      </c>
      <c r="V116" s="34"/>
      <c r="W116" s="34">
        <v>0</v>
      </c>
      <c r="X116" s="34"/>
      <c r="Y116" s="34">
        <v>0</v>
      </c>
      <c r="Z116" s="34"/>
      <c r="AA116" s="34">
        <v>0</v>
      </c>
      <c r="AB116" s="32"/>
      <c r="AC116" s="34">
        <v>0</v>
      </c>
      <c r="AD116" s="34"/>
      <c r="AE116" s="33">
        <f t="shared" si="1"/>
        <v>18933</v>
      </c>
    </row>
    <row r="117" spans="1:31" ht="12.75" customHeight="1">
      <c r="A117" s="1" t="s">
        <v>161</v>
      </c>
      <c r="C117" s="30" t="s">
        <v>162</v>
      </c>
      <c r="E117" s="34">
        <v>0</v>
      </c>
      <c r="F117" s="34"/>
      <c r="G117" s="34">
        <v>234</v>
      </c>
      <c r="H117" s="34"/>
      <c r="I117" s="34">
        <v>0</v>
      </c>
      <c r="J117" s="34"/>
      <c r="K117" s="34">
        <v>0</v>
      </c>
      <c r="L117" s="34"/>
      <c r="M117" s="34">
        <v>0</v>
      </c>
      <c r="N117" s="34"/>
      <c r="O117" s="34">
        <v>0</v>
      </c>
      <c r="P117" s="34"/>
      <c r="Q117" s="34">
        <v>13000</v>
      </c>
      <c r="R117" s="34"/>
      <c r="S117" s="34">
        <v>0</v>
      </c>
      <c r="T117" s="34"/>
      <c r="U117" s="34">
        <v>0</v>
      </c>
      <c r="V117" s="34"/>
      <c r="W117" s="34">
        <v>0</v>
      </c>
      <c r="X117" s="34"/>
      <c r="Y117" s="34">
        <v>0</v>
      </c>
      <c r="Z117" s="34"/>
      <c r="AA117" s="34">
        <v>0</v>
      </c>
      <c r="AB117" s="32"/>
      <c r="AC117" s="34">
        <v>0</v>
      </c>
      <c r="AD117" s="34"/>
      <c r="AE117" s="33">
        <f t="shared" si="1"/>
        <v>13234</v>
      </c>
    </row>
    <row r="118" spans="1:31" ht="12.75" customHeight="1">
      <c r="A118" s="1" t="s">
        <v>163</v>
      </c>
      <c r="C118" s="1" t="s">
        <v>164</v>
      </c>
      <c r="E118" s="34">
        <v>128562</v>
      </c>
      <c r="F118" s="34"/>
      <c r="G118" s="34">
        <v>0</v>
      </c>
      <c r="H118" s="34"/>
      <c r="I118" s="34">
        <v>0</v>
      </c>
      <c r="J118" s="34"/>
      <c r="K118" s="34">
        <v>0</v>
      </c>
      <c r="L118" s="34"/>
      <c r="M118" s="34">
        <v>0</v>
      </c>
      <c r="N118" s="34"/>
      <c r="O118" s="34">
        <v>0</v>
      </c>
      <c r="P118" s="34"/>
      <c r="Q118" s="34">
        <v>66445</v>
      </c>
      <c r="R118" s="34"/>
      <c r="S118" s="34">
        <v>11760</v>
      </c>
      <c r="T118" s="34"/>
      <c r="U118" s="34">
        <v>16472</v>
      </c>
      <c r="V118" s="34"/>
      <c r="W118" s="34">
        <v>0</v>
      </c>
      <c r="X118" s="34"/>
      <c r="Y118" s="34">
        <v>5000</v>
      </c>
      <c r="Z118" s="34"/>
      <c r="AA118" s="34">
        <v>0</v>
      </c>
      <c r="AB118" s="32"/>
      <c r="AC118" s="34">
        <v>0</v>
      </c>
      <c r="AD118" s="34"/>
      <c r="AE118" s="33">
        <f t="shared" si="1"/>
        <v>228239</v>
      </c>
    </row>
    <row r="119" spans="1:31" ht="12.75" customHeight="1">
      <c r="A119" s="1" t="s">
        <v>551</v>
      </c>
      <c r="C119" s="1" t="s">
        <v>210</v>
      </c>
      <c r="E119" s="34">
        <v>23389</v>
      </c>
      <c r="F119" s="34"/>
      <c r="G119" s="34">
        <v>0</v>
      </c>
      <c r="H119" s="34"/>
      <c r="I119" s="34">
        <v>381</v>
      </c>
      <c r="J119" s="34"/>
      <c r="K119" s="34">
        <v>0</v>
      </c>
      <c r="L119" s="34"/>
      <c r="M119" s="34">
        <v>0</v>
      </c>
      <c r="N119" s="34"/>
      <c r="O119" s="34">
        <v>0</v>
      </c>
      <c r="P119" s="34"/>
      <c r="Q119" s="34">
        <v>55480</v>
      </c>
      <c r="R119" s="34"/>
      <c r="S119" s="34">
        <v>0</v>
      </c>
      <c r="T119" s="34"/>
      <c r="U119" s="34">
        <v>0</v>
      </c>
      <c r="V119" s="34"/>
      <c r="W119" s="34">
        <v>0</v>
      </c>
      <c r="X119" s="34"/>
      <c r="Y119" s="34">
        <v>0</v>
      </c>
      <c r="Z119" s="32"/>
      <c r="AA119" s="34">
        <v>0</v>
      </c>
      <c r="AB119" s="34"/>
      <c r="AC119" s="34">
        <v>0</v>
      </c>
      <c r="AD119" s="34"/>
      <c r="AE119" s="33">
        <f t="shared" si="1"/>
        <v>79250</v>
      </c>
    </row>
    <row r="120" spans="1:31" ht="12.75" customHeight="1">
      <c r="A120" s="1" t="s">
        <v>665</v>
      </c>
      <c r="C120" s="1" t="s">
        <v>309</v>
      </c>
      <c r="E120" s="34">
        <v>5490</v>
      </c>
      <c r="F120" s="34"/>
      <c r="G120" s="34">
        <v>785</v>
      </c>
      <c r="H120" s="34"/>
      <c r="I120" s="34">
        <v>335</v>
      </c>
      <c r="J120" s="34"/>
      <c r="K120" s="34">
        <v>1700</v>
      </c>
      <c r="L120" s="34"/>
      <c r="M120" s="34">
        <v>217</v>
      </c>
      <c r="N120" s="34"/>
      <c r="O120" s="34">
        <v>4290</v>
      </c>
      <c r="P120" s="34"/>
      <c r="Q120" s="34">
        <v>29952</v>
      </c>
      <c r="R120" s="34"/>
      <c r="S120" s="34">
        <v>6463</v>
      </c>
      <c r="T120" s="34"/>
      <c r="U120" s="34">
        <v>0</v>
      </c>
      <c r="V120" s="34"/>
      <c r="W120" s="34">
        <v>0</v>
      </c>
      <c r="X120" s="34"/>
      <c r="Y120" s="34">
        <v>0</v>
      </c>
      <c r="Z120" s="32"/>
      <c r="AA120" s="34">
        <v>0</v>
      </c>
      <c r="AB120" s="34"/>
      <c r="AC120" s="34">
        <v>25</v>
      </c>
      <c r="AD120" s="34"/>
      <c r="AE120" s="33">
        <f t="shared" si="1"/>
        <v>49257</v>
      </c>
    </row>
    <row r="121" spans="1:31" ht="12.75" customHeight="1">
      <c r="A121" s="1" t="s">
        <v>650</v>
      </c>
      <c r="C121" s="1" t="s">
        <v>167</v>
      </c>
      <c r="E121" s="34">
        <v>5435</v>
      </c>
      <c r="F121" s="34"/>
      <c r="G121" s="34">
        <v>2168</v>
      </c>
      <c r="H121" s="34"/>
      <c r="I121" s="34">
        <v>1314</v>
      </c>
      <c r="J121" s="34"/>
      <c r="K121" s="34">
        <v>8549</v>
      </c>
      <c r="L121" s="34"/>
      <c r="M121" s="34">
        <v>2059</v>
      </c>
      <c r="N121" s="34"/>
      <c r="O121" s="34">
        <v>0</v>
      </c>
      <c r="P121" s="34"/>
      <c r="Q121" s="34">
        <v>28246</v>
      </c>
      <c r="R121" s="34"/>
      <c r="S121" s="34">
        <v>0</v>
      </c>
      <c r="T121" s="34"/>
      <c r="U121" s="34">
        <v>0</v>
      </c>
      <c r="V121" s="34"/>
      <c r="W121" s="34">
        <v>0</v>
      </c>
      <c r="X121" s="34"/>
      <c r="Y121" s="34">
        <v>0</v>
      </c>
      <c r="Z121" s="32"/>
      <c r="AA121" s="34">
        <v>0</v>
      </c>
      <c r="AB121" s="34"/>
      <c r="AC121" s="34">
        <v>0</v>
      </c>
      <c r="AD121" s="34"/>
      <c r="AE121" s="33">
        <f t="shared" si="1"/>
        <v>47771</v>
      </c>
    </row>
    <row r="122" spans="1:31" ht="12.75" customHeight="1">
      <c r="A122" s="1" t="s">
        <v>641</v>
      </c>
      <c r="C122" s="1" t="s">
        <v>274</v>
      </c>
      <c r="E122" s="34">
        <v>49890</v>
      </c>
      <c r="F122" s="34"/>
      <c r="G122" s="34">
        <v>0</v>
      </c>
      <c r="H122" s="34"/>
      <c r="I122" s="34">
        <v>26521</v>
      </c>
      <c r="J122" s="34"/>
      <c r="K122" s="34">
        <v>16956</v>
      </c>
      <c r="L122" s="34"/>
      <c r="M122" s="34">
        <v>0</v>
      </c>
      <c r="N122" s="34"/>
      <c r="O122" s="34">
        <v>0</v>
      </c>
      <c r="P122" s="34"/>
      <c r="Q122" s="34">
        <v>62446</v>
      </c>
      <c r="R122" s="34"/>
      <c r="S122" s="34">
        <v>0</v>
      </c>
      <c r="T122" s="34"/>
      <c r="U122" s="34">
        <v>0</v>
      </c>
      <c r="V122" s="34"/>
      <c r="W122" s="34">
        <v>0</v>
      </c>
      <c r="X122" s="34"/>
      <c r="Y122" s="34">
        <v>0</v>
      </c>
      <c r="Z122" s="32"/>
      <c r="AA122" s="34">
        <v>0</v>
      </c>
      <c r="AB122" s="34"/>
      <c r="AC122" s="34">
        <v>0</v>
      </c>
      <c r="AD122" s="34"/>
      <c r="AE122" s="33">
        <f t="shared" si="1"/>
        <v>155813</v>
      </c>
    </row>
    <row r="123" spans="1:31" ht="12.75" customHeight="1">
      <c r="A123" s="1" t="s">
        <v>485</v>
      </c>
      <c r="C123" s="1" t="s">
        <v>312</v>
      </c>
      <c r="E123" s="34">
        <v>2870</v>
      </c>
      <c r="F123" s="34"/>
      <c r="G123" s="34">
        <v>0</v>
      </c>
      <c r="H123" s="34"/>
      <c r="I123" s="34">
        <v>3522</v>
      </c>
      <c r="J123" s="34"/>
      <c r="K123" s="34">
        <v>0</v>
      </c>
      <c r="L123" s="34"/>
      <c r="M123" s="34">
        <v>0</v>
      </c>
      <c r="N123" s="34"/>
      <c r="O123" s="34">
        <v>14910</v>
      </c>
      <c r="P123" s="34"/>
      <c r="Q123" s="34">
        <v>25886</v>
      </c>
      <c r="R123" s="34"/>
      <c r="S123" s="34">
        <v>0</v>
      </c>
      <c r="T123" s="34"/>
      <c r="U123" s="34">
        <v>0</v>
      </c>
      <c r="V123" s="34"/>
      <c r="W123" s="34">
        <v>0</v>
      </c>
      <c r="X123" s="34"/>
      <c r="Y123" s="34">
        <v>1221</v>
      </c>
      <c r="Z123" s="32"/>
      <c r="AA123" s="34">
        <v>0</v>
      </c>
      <c r="AB123" s="34"/>
      <c r="AC123" s="34">
        <v>0</v>
      </c>
      <c r="AD123" s="34"/>
      <c r="AE123" s="33">
        <f t="shared" si="1"/>
        <v>48409</v>
      </c>
    </row>
    <row r="124" spans="1:31" ht="12.75" customHeight="1">
      <c r="A124" s="1" t="s">
        <v>659</v>
      </c>
      <c r="C124" s="1" t="s">
        <v>80</v>
      </c>
      <c r="E124" s="34">
        <v>4489</v>
      </c>
      <c r="F124" s="34"/>
      <c r="G124" s="34">
        <v>1521</v>
      </c>
      <c r="H124" s="34"/>
      <c r="I124" s="34">
        <v>359</v>
      </c>
      <c r="J124" s="34"/>
      <c r="K124" s="34">
        <v>0</v>
      </c>
      <c r="L124" s="34"/>
      <c r="M124" s="34">
        <v>2466</v>
      </c>
      <c r="N124" s="34"/>
      <c r="O124" s="34">
        <v>0</v>
      </c>
      <c r="P124" s="34"/>
      <c r="Q124" s="34">
        <v>29317</v>
      </c>
      <c r="R124" s="34"/>
      <c r="S124" s="34">
        <v>0</v>
      </c>
      <c r="T124" s="34"/>
      <c r="U124" s="34">
        <v>1699</v>
      </c>
      <c r="V124" s="34"/>
      <c r="W124" s="34">
        <v>0</v>
      </c>
      <c r="X124" s="34"/>
      <c r="Y124" s="34">
        <v>0</v>
      </c>
      <c r="Z124" s="32"/>
      <c r="AA124" s="34">
        <v>0</v>
      </c>
      <c r="AB124" s="34"/>
      <c r="AC124" s="34">
        <v>0</v>
      </c>
      <c r="AD124" s="34"/>
      <c r="AE124" s="33">
        <f t="shared" si="1"/>
        <v>39851</v>
      </c>
    </row>
    <row r="125" spans="1:31" ht="12.75" customHeight="1">
      <c r="A125" s="1" t="s">
        <v>714</v>
      </c>
      <c r="C125" s="1" t="s">
        <v>712</v>
      </c>
      <c r="E125" s="34">
        <v>5869</v>
      </c>
      <c r="F125" s="34"/>
      <c r="G125" s="34">
        <v>0</v>
      </c>
      <c r="H125" s="34"/>
      <c r="I125" s="34">
        <v>7457</v>
      </c>
      <c r="J125" s="34"/>
      <c r="K125" s="34">
        <v>0</v>
      </c>
      <c r="L125" s="34"/>
      <c r="M125" s="34">
        <v>0</v>
      </c>
      <c r="N125" s="34"/>
      <c r="O125" s="34">
        <v>0</v>
      </c>
      <c r="P125" s="34"/>
      <c r="Q125" s="34">
        <v>59420</v>
      </c>
      <c r="R125" s="34"/>
      <c r="S125" s="34">
        <v>3112</v>
      </c>
      <c r="T125" s="34"/>
      <c r="U125" s="34">
        <v>0</v>
      </c>
      <c r="V125" s="34"/>
      <c r="W125" s="34">
        <v>0</v>
      </c>
      <c r="X125" s="34"/>
      <c r="Y125" s="34">
        <v>0</v>
      </c>
      <c r="Z125" s="32"/>
      <c r="AA125" s="34">
        <v>0</v>
      </c>
      <c r="AB125" s="34"/>
      <c r="AC125" s="34">
        <v>0</v>
      </c>
      <c r="AD125" s="34"/>
      <c r="AE125" s="33">
        <f t="shared" si="1"/>
        <v>75858</v>
      </c>
    </row>
    <row r="126" spans="1:31" ht="12.75" customHeight="1">
      <c r="A126" s="1" t="s">
        <v>499</v>
      </c>
      <c r="C126" s="1" t="s">
        <v>122</v>
      </c>
      <c r="E126" s="34">
        <v>6600</v>
      </c>
      <c r="F126" s="34"/>
      <c r="G126" s="34">
        <v>0</v>
      </c>
      <c r="H126" s="34"/>
      <c r="I126" s="34">
        <v>0</v>
      </c>
      <c r="J126" s="34"/>
      <c r="K126" s="34">
        <v>0</v>
      </c>
      <c r="L126" s="34"/>
      <c r="M126" s="34">
        <v>0</v>
      </c>
      <c r="N126" s="34"/>
      <c r="O126" s="34">
        <v>0</v>
      </c>
      <c r="P126" s="34"/>
      <c r="Q126" s="34">
        <v>32343</v>
      </c>
      <c r="R126" s="34"/>
      <c r="S126" s="34">
        <v>0</v>
      </c>
      <c r="T126" s="34"/>
      <c r="U126" s="34">
        <v>0</v>
      </c>
      <c r="V126" s="34"/>
      <c r="W126" s="34">
        <v>0</v>
      </c>
      <c r="X126" s="34"/>
      <c r="Y126" s="34">
        <v>0</v>
      </c>
      <c r="Z126" s="32"/>
      <c r="AA126" s="34">
        <v>0</v>
      </c>
      <c r="AB126" s="34"/>
      <c r="AC126" s="34">
        <v>0</v>
      </c>
      <c r="AD126" s="34"/>
      <c r="AE126" s="33">
        <f t="shared" si="1"/>
        <v>38943</v>
      </c>
    </row>
    <row r="127" spans="1:31" ht="12.75" customHeight="1">
      <c r="A127" s="1" t="s">
        <v>673</v>
      </c>
      <c r="C127" s="1" t="s">
        <v>215</v>
      </c>
      <c r="E127" s="34">
        <v>15479</v>
      </c>
      <c r="F127" s="34"/>
      <c r="G127" s="34">
        <v>814</v>
      </c>
      <c r="H127" s="34"/>
      <c r="I127" s="34">
        <v>2054</v>
      </c>
      <c r="J127" s="34"/>
      <c r="K127" s="34">
        <v>200</v>
      </c>
      <c r="L127" s="34"/>
      <c r="M127" s="34">
        <v>16695</v>
      </c>
      <c r="N127" s="34"/>
      <c r="O127" s="34">
        <v>3963</v>
      </c>
      <c r="P127" s="34"/>
      <c r="Q127" s="34">
        <v>38121</v>
      </c>
      <c r="R127" s="34"/>
      <c r="S127" s="34">
        <v>0</v>
      </c>
      <c r="T127" s="34"/>
      <c r="U127" s="34">
        <v>0</v>
      </c>
      <c r="V127" s="34"/>
      <c r="W127" s="34">
        <v>0</v>
      </c>
      <c r="X127" s="34"/>
      <c r="Y127" s="34">
        <v>0</v>
      </c>
      <c r="Z127" s="32"/>
      <c r="AA127" s="34">
        <v>14710</v>
      </c>
      <c r="AB127" s="34"/>
      <c r="AC127" s="34">
        <v>0</v>
      </c>
      <c r="AD127" s="34"/>
      <c r="AE127" s="33">
        <f t="shared" si="1"/>
        <v>92036</v>
      </c>
    </row>
    <row r="128" spans="1:31" ht="12.75" customHeight="1">
      <c r="A128" s="1" t="s">
        <v>564</v>
      </c>
      <c r="C128" s="1" t="s">
        <v>73</v>
      </c>
      <c r="E128" s="34">
        <v>478382</v>
      </c>
      <c r="F128" s="34"/>
      <c r="G128" s="34">
        <v>2216</v>
      </c>
      <c r="H128" s="34"/>
      <c r="I128" s="34">
        <v>30625</v>
      </c>
      <c r="J128" s="34"/>
      <c r="K128" s="34">
        <v>14634</v>
      </c>
      <c r="L128" s="34"/>
      <c r="M128" s="34">
        <v>0</v>
      </c>
      <c r="N128" s="34"/>
      <c r="O128" s="34">
        <v>20866</v>
      </c>
      <c r="P128" s="34"/>
      <c r="Q128" s="34">
        <v>230810</v>
      </c>
      <c r="R128" s="34"/>
      <c r="S128" s="34">
        <v>0</v>
      </c>
      <c r="T128" s="34"/>
      <c r="U128" s="34">
        <v>0</v>
      </c>
      <c r="V128" s="34"/>
      <c r="W128" s="34">
        <v>10441</v>
      </c>
      <c r="X128" s="34"/>
      <c r="Y128" s="34">
        <v>9500</v>
      </c>
      <c r="Z128" s="32"/>
      <c r="AA128" s="34">
        <v>0</v>
      </c>
      <c r="AB128" s="34"/>
      <c r="AC128" s="34">
        <v>0</v>
      </c>
      <c r="AD128" s="34"/>
      <c r="AE128" s="33">
        <f t="shared" si="1"/>
        <v>797474</v>
      </c>
    </row>
    <row r="129" spans="1:31" ht="12.75" customHeight="1">
      <c r="A129" s="1" t="s">
        <v>438</v>
      </c>
      <c r="C129" s="1" t="s">
        <v>439</v>
      </c>
      <c r="E129" s="34">
        <v>3201</v>
      </c>
      <c r="F129" s="34"/>
      <c r="G129" s="34">
        <v>774</v>
      </c>
      <c r="H129" s="34"/>
      <c r="I129" s="34">
        <v>0</v>
      </c>
      <c r="J129" s="34"/>
      <c r="K129" s="34">
        <v>25</v>
      </c>
      <c r="L129" s="34"/>
      <c r="M129" s="34">
        <v>0</v>
      </c>
      <c r="N129" s="34"/>
      <c r="O129" s="34">
        <v>0</v>
      </c>
      <c r="P129" s="34"/>
      <c r="Q129" s="34">
        <v>25335</v>
      </c>
      <c r="R129" s="34"/>
      <c r="S129" s="34">
        <v>0</v>
      </c>
      <c r="T129" s="34"/>
      <c r="U129" s="34">
        <v>0</v>
      </c>
      <c r="V129" s="34"/>
      <c r="W129" s="34">
        <v>0</v>
      </c>
      <c r="X129" s="34"/>
      <c r="Y129" s="34">
        <v>0</v>
      </c>
      <c r="Z129" s="32"/>
      <c r="AA129" s="34">
        <v>0</v>
      </c>
      <c r="AB129" s="34"/>
      <c r="AC129" s="34">
        <v>0</v>
      </c>
      <c r="AD129" s="34"/>
      <c r="AE129" s="33">
        <f t="shared" si="1"/>
        <v>29335</v>
      </c>
    </row>
    <row r="130" spans="1:31" ht="12.75" customHeight="1">
      <c r="A130" s="1" t="s">
        <v>122</v>
      </c>
      <c r="C130" s="1" t="s">
        <v>129</v>
      </c>
      <c r="E130" s="34">
        <v>58133</v>
      </c>
      <c r="F130" s="34"/>
      <c r="G130" s="34">
        <v>18012</v>
      </c>
      <c r="H130" s="34"/>
      <c r="I130" s="34">
        <v>2990</v>
      </c>
      <c r="J130" s="34"/>
      <c r="K130" s="34">
        <v>3491</v>
      </c>
      <c r="L130" s="34"/>
      <c r="M130" s="34">
        <v>0</v>
      </c>
      <c r="N130" s="34"/>
      <c r="O130" s="34">
        <v>28816</v>
      </c>
      <c r="P130" s="34"/>
      <c r="Q130" s="34">
        <v>58851</v>
      </c>
      <c r="R130" s="34"/>
      <c r="S130" s="34">
        <v>19805</v>
      </c>
      <c r="T130" s="34"/>
      <c r="U130" s="34">
        <v>0</v>
      </c>
      <c r="V130" s="34"/>
      <c r="W130" s="34">
        <v>0</v>
      </c>
      <c r="X130" s="34"/>
      <c r="Y130" s="34">
        <v>10150</v>
      </c>
      <c r="Z130" s="34"/>
      <c r="AA130" s="34">
        <v>0</v>
      </c>
      <c r="AB130" s="32"/>
      <c r="AC130" s="34">
        <v>0</v>
      </c>
      <c r="AD130" s="34"/>
      <c r="AE130" s="33">
        <f t="shared" si="1"/>
        <v>200248</v>
      </c>
    </row>
    <row r="131" spans="1:31" ht="12.75" customHeight="1">
      <c r="A131" s="1" t="s">
        <v>165</v>
      </c>
      <c r="C131" s="1" t="s">
        <v>110</v>
      </c>
      <c r="E131" s="34">
        <v>3068</v>
      </c>
      <c r="F131" s="34"/>
      <c r="G131" s="34">
        <v>100</v>
      </c>
      <c r="H131" s="34"/>
      <c r="I131" s="34">
        <v>8993</v>
      </c>
      <c r="J131" s="34"/>
      <c r="K131" s="34">
        <v>0</v>
      </c>
      <c r="L131" s="34"/>
      <c r="M131" s="34">
        <v>2277</v>
      </c>
      <c r="N131" s="34"/>
      <c r="O131" s="34">
        <v>1946</v>
      </c>
      <c r="P131" s="34"/>
      <c r="Q131" s="34">
        <v>27103</v>
      </c>
      <c r="R131" s="34"/>
      <c r="S131" s="34">
        <v>0</v>
      </c>
      <c r="T131" s="34"/>
      <c r="U131" s="34">
        <v>3649</v>
      </c>
      <c r="V131" s="34"/>
      <c r="W131" s="34">
        <v>0</v>
      </c>
      <c r="X131" s="34"/>
      <c r="Y131" s="34">
        <v>0</v>
      </c>
      <c r="Z131" s="34"/>
      <c r="AA131" s="34">
        <v>0</v>
      </c>
      <c r="AB131" s="32"/>
      <c r="AC131" s="34">
        <v>0</v>
      </c>
      <c r="AD131" s="34"/>
      <c r="AE131" s="33">
        <f t="shared" si="1"/>
        <v>47136</v>
      </c>
    </row>
    <row r="132" spans="1:31" ht="12.75" customHeight="1">
      <c r="A132" s="1" t="s">
        <v>608</v>
      </c>
      <c r="C132" s="1" t="s">
        <v>164</v>
      </c>
      <c r="E132" s="34">
        <v>134637</v>
      </c>
      <c r="F132" s="34"/>
      <c r="G132" s="34">
        <v>0</v>
      </c>
      <c r="H132" s="34"/>
      <c r="I132" s="34">
        <v>10718</v>
      </c>
      <c r="J132" s="34"/>
      <c r="K132" s="34">
        <v>1144</v>
      </c>
      <c r="L132" s="34"/>
      <c r="M132" s="34">
        <v>0</v>
      </c>
      <c r="N132" s="34"/>
      <c r="O132" s="34">
        <v>2313</v>
      </c>
      <c r="P132" s="34"/>
      <c r="Q132" s="34">
        <v>310009</v>
      </c>
      <c r="R132" s="34"/>
      <c r="S132" s="34">
        <v>0</v>
      </c>
      <c r="T132" s="34"/>
      <c r="U132" s="34">
        <v>0</v>
      </c>
      <c r="V132" s="34"/>
      <c r="W132" s="34">
        <v>0</v>
      </c>
      <c r="X132" s="34"/>
      <c r="Y132" s="34">
        <v>0</v>
      </c>
      <c r="Z132" s="32"/>
      <c r="AA132" s="34">
        <v>0</v>
      </c>
      <c r="AB132" s="34"/>
      <c r="AC132" s="34">
        <v>0</v>
      </c>
      <c r="AD132" s="34"/>
      <c r="AE132" s="33">
        <f t="shared" si="1"/>
        <v>458821</v>
      </c>
    </row>
    <row r="133" spans="5:31" ht="12.75" customHeight="1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2"/>
      <c r="AA133" s="34"/>
      <c r="AB133" s="34"/>
      <c r="AD133" s="34"/>
      <c r="AE133" s="34" t="s">
        <v>785</v>
      </c>
    </row>
    <row r="134" spans="1:31" s="36" customFormat="1" ht="12.75" customHeight="1">
      <c r="A134" s="36" t="s">
        <v>166</v>
      </c>
      <c r="C134" s="36" t="s">
        <v>167</v>
      </c>
      <c r="E134" s="39">
        <v>463268</v>
      </c>
      <c r="F134" s="39"/>
      <c r="G134" s="39">
        <v>14364</v>
      </c>
      <c r="H134" s="39"/>
      <c r="I134" s="39">
        <v>0</v>
      </c>
      <c r="J134" s="39"/>
      <c r="K134" s="39">
        <v>0</v>
      </c>
      <c r="L134" s="39"/>
      <c r="M134" s="39">
        <v>0</v>
      </c>
      <c r="N134" s="39"/>
      <c r="O134" s="39">
        <v>0</v>
      </c>
      <c r="P134" s="39"/>
      <c r="Q134" s="39">
        <v>326697</v>
      </c>
      <c r="R134" s="39"/>
      <c r="S134" s="39">
        <v>307128</v>
      </c>
      <c r="T134" s="39"/>
      <c r="U134" s="39">
        <v>4000</v>
      </c>
      <c r="V134" s="39"/>
      <c r="W134" s="39">
        <v>0</v>
      </c>
      <c r="X134" s="39"/>
      <c r="Y134" s="39">
        <v>502245</v>
      </c>
      <c r="Z134" s="39"/>
      <c r="AA134" s="39">
        <v>0</v>
      </c>
      <c r="AB134" s="38"/>
      <c r="AC134" s="39">
        <v>9454</v>
      </c>
      <c r="AD134" s="39"/>
      <c r="AE134" s="40">
        <f t="shared" si="1"/>
        <v>1627156</v>
      </c>
    </row>
    <row r="135" spans="1:31" s="16" customFormat="1" ht="12.75" customHeight="1">
      <c r="A135" s="16" t="s">
        <v>696</v>
      </c>
      <c r="C135" s="16" t="s">
        <v>225</v>
      </c>
      <c r="E135" s="34">
        <v>26857</v>
      </c>
      <c r="F135" s="34"/>
      <c r="G135" s="34">
        <v>50</v>
      </c>
      <c r="H135" s="34"/>
      <c r="I135" s="34">
        <v>0</v>
      </c>
      <c r="J135" s="34"/>
      <c r="K135" s="34">
        <v>0</v>
      </c>
      <c r="L135" s="34"/>
      <c r="M135" s="34">
        <v>0</v>
      </c>
      <c r="N135" s="34"/>
      <c r="O135" s="34">
        <v>0</v>
      </c>
      <c r="P135" s="34"/>
      <c r="Q135" s="34">
        <v>30901</v>
      </c>
      <c r="R135" s="34"/>
      <c r="S135" s="34">
        <v>20000</v>
      </c>
      <c r="T135" s="34"/>
      <c r="U135" s="34">
        <v>0</v>
      </c>
      <c r="V135" s="34"/>
      <c r="W135" s="34">
        <v>0</v>
      </c>
      <c r="X135" s="34"/>
      <c r="Y135" s="34">
        <v>0</v>
      </c>
      <c r="Z135" s="32"/>
      <c r="AA135" s="34">
        <v>0</v>
      </c>
      <c r="AB135" s="34"/>
      <c r="AC135" s="34">
        <v>8745</v>
      </c>
      <c r="AD135" s="34"/>
      <c r="AE135" s="33">
        <f t="shared" si="1"/>
        <v>86553</v>
      </c>
    </row>
    <row r="136" spans="1:31" ht="12.75" customHeight="1">
      <c r="A136" s="1" t="s">
        <v>168</v>
      </c>
      <c r="C136" s="1" t="s">
        <v>110</v>
      </c>
      <c r="E136" s="34">
        <v>137753</v>
      </c>
      <c r="F136" s="34"/>
      <c r="G136" s="34">
        <v>362</v>
      </c>
      <c r="H136" s="34"/>
      <c r="I136" s="34">
        <v>127774</v>
      </c>
      <c r="J136" s="34"/>
      <c r="K136" s="34">
        <v>1722</v>
      </c>
      <c r="L136" s="34"/>
      <c r="M136" s="34">
        <v>2870</v>
      </c>
      <c r="N136" s="34"/>
      <c r="O136" s="34">
        <v>3994</v>
      </c>
      <c r="P136" s="34"/>
      <c r="Q136" s="34">
        <v>149370</v>
      </c>
      <c r="R136" s="34"/>
      <c r="S136" s="34">
        <v>0</v>
      </c>
      <c r="T136" s="34"/>
      <c r="U136" s="34">
        <v>0</v>
      </c>
      <c r="V136" s="34"/>
      <c r="W136" s="34">
        <v>0</v>
      </c>
      <c r="X136" s="34"/>
      <c r="Y136" s="34">
        <v>117366</v>
      </c>
      <c r="Z136" s="34"/>
      <c r="AA136" s="34">
        <v>12792</v>
      </c>
      <c r="AB136" s="32"/>
      <c r="AC136" s="34">
        <v>0</v>
      </c>
      <c r="AD136" s="34"/>
      <c r="AE136" s="33">
        <f t="shared" si="1"/>
        <v>554003</v>
      </c>
    </row>
    <row r="137" spans="1:31" ht="12.75" customHeight="1">
      <c r="A137" s="1" t="s">
        <v>786</v>
      </c>
      <c r="C137" s="1" t="s">
        <v>184</v>
      </c>
      <c r="E137" s="34">
        <v>31965</v>
      </c>
      <c r="F137" s="34"/>
      <c r="G137" s="34">
        <v>2576</v>
      </c>
      <c r="H137" s="34"/>
      <c r="I137" s="34">
        <v>0</v>
      </c>
      <c r="J137" s="34"/>
      <c r="K137" s="34">
        <v>3236</v>
      </c>
      <c r="L137" s="34"/>
      <c r="M137" s="34">
        <v>0</v>
      </c>
      <c r="N137" s="34"/>
      <c r="O137" s="34">
        <v>3364</v>
      </c>
      <c r="P137" s="34"/>
      <c r="Q137" s="34">
        <v>67909</v>
      </c>
      <c r="R137" s="34"/>
      <c r="S137" s="34">
        <v>0</v>
      </c>
      <c r="T137" s="34"/>
      <c r="U137" s="34">
        <v>0</v>
      </c>
      <c r="V137" s="34"/>
      <c r="W137" s="34">
        <v>0</v>
      </c>
      <c r="X137" s="34"/>
      <c r="Y137" s="34">
        <v>2327</v>
      </c>
      <c r="Z137" s="32"/>
      <c r="AA137" s="34">
        <v>0</v>
      </c>
      <c r="AB137" s="34"/>
      <c r="AC137" s="34">
        <v>0</v>
      </c>
      <c r="AD137" s="34"/>
      <c r="AE137" s="33">
        <f t="shared" si="1"/>
        <v>111377</v>
      </c>
    </row>
    <row r="138" spans="1:31" ht="12.75" customHeight="1">
      <c r="A138" s="1" t="s">
        <v>169</v>
      </c>
      <c r="C138" s="1" t="s">
        <v>170</v>
      </c>
      <c r="E138" s="34">
        <v>0</v>
      </c>
      <c r="F138" s="34"/>
      <c r="G138" s="34">
        <v>388</v>
      </c>
      <c r="H138" s="34"/>
      <c r="I138" s="34">
        <v>0</v>
      </c>
      <c r="J138" s="34"/>
      <c r="K138" s="34">
        <v>0</v>
      </c>
      <c r="L138" s="34"/>
      <c r="M138" s="34">
        <v>17064</v>
      </c>
      <c r="N138" s="34"/>
      <c r="O138" s="34">
        <v>0</v>
      </c>
      <c r="P138" s="34"/>
      <c r="Q138" s="34">
        <v>6520</v>
      </c>
      <c r="R138" s="34"/>
      <c r="S138" s="34">
        <v>0</v>
      </c>
      <c r="T138" s="34"/>
      <c r="U138" s="34">
        <v>0</v>
      </c>
      <c r="V138" s="34"/>
      <c r="W138" s="34">
        <v>0</v>
      </c>
      <c r="X138" s="34"/>
      <c r="Y138" s="34">
        <v>0</v>
      </c>
      <c r="Z138" s="34"/>
      <c r="AA138" s="34">
        <v>0</v>
      </c>
      <c r="AB138" s="32"/>
      <c r="AC138" s="34">
        <v>0</v>
      </c>
      <c r="AD138" s="34"/>
      <c r="AE138" s="33">
        <f t="shared" si="1"/>
        <v>23972</v>
      </c>
    </row>
    <row r="139" spans="1:31" ht="12.75" customHeight="1">
      <c r="A139" s="1" t="s">
        <v>761</v>
      </c>
      <c r="C139" s="1" t="s">
        <v>84</v>
      </c>
      <c r="E139" s="34">
        <v>1904</v>
      </c>
      <c r="F139" s="34"/>
      <c r="G139" s="34">
        <v>4507</v>
      </c>
      <c r="H139" s="34"/>
      <c r="I139" s="34">
        <v>250</v>
      </c>
      <c r="J139" s="34"/>
      <c r="K139" s="34">
        <v>0</v>
      </c>
      <c r="L139" s="34"/>
      <c r="M139" s="34">
        <v>0</v>
      </c>
      <c r="N139" s="34"/>
      <c r="O139" s="34">
        <v>0</v>
      </c>
      <c r="P139" s="34"/>
      <c r="Q139" s="34">
        <v>18604</v>
      </c>
      <c r="R139" s="34"/>
      <c r="S139" s="34">
        <v>0</v>
      </c>
      <c r="T139" s="34"/>
      <c r="U139" s="34">
        <v>0</v>
      </c>
      <c r="V139" s="34"/>
      <c r="W139" s="34">
        <v>0</v>
      </c>
      <c r="X139" s="34"/>
      <c r="Y139" s="34">
        <v>6600</v>
      </c>
      <c r="Z139" s="32"/>
      <c r="AA139" s="34">
        <v>700</v>
      </c>
      <c r="AB139" s="34"/>
      <c r="AC139" s="34">
        <v>0</v>
      </c>
      <c r="AD139" s="34"/>
      <c r="AE139" s="33">
        <f aca="true" t="shared" si="2" ref="AE139:AE203">SUM(E139:AC139)</f>
        <v>32565</v>
      </c>
    </row>
    <row r="140" spans="1:31" ht="12.75" customHeight="1">
      <c r="A140" s="1" t="s">
        <v>701</v>
      </c>
      <c r="C140" s="1" t="s">
        <v>110</v>
      </c>
      <c r="E140" s="34">
        <v>80567</v>
      </c>
      <c r="F140" s="34"/>
      <c r="G140" s="34">
        <v>0</v>
      </c>
      <c r="H140" s="34"/>
      <c r="I140" s="34">
        <v>0</v>
      </c>
      <c r="J140" s="34"/>
      <c r="K140" s="34">
        <v>0</v>
      </c>
      <c r="L140" s="34"/>
      <c r="M140" s="34">
        <v>19900</v>
      </c>
      <c r="N140" s="34"/>
      <c r="O140" s="34">
        <v>30438</v>
      </c>
      <c r="P140" s="34"/>
      <c r="Q140" s="34">
        <v>198612</v>
      </c>
      <c r="R140" s="34"/>
      <c r="S140" s="34">
        <v>568406</v>
      </c>
      <c r="T140" s="34"/>
      <c r="U140" s="34">
        <v>0</v>
      </c>
      <c r="V140" s="34"/>
      <c r="W140" s="34">
        <v>0</v>
      </c>
      <c r="X140" s="34"/>
      <c r="Y140" s="34">
        <v>13531</v>
      </c>
      <c r="Z140" s="32"/>
      <c r="AA140" s="34">
        <v>11750</v>
      </c>
      <c r="AB140" s="34"/>
      <c r="AC140" s="34">
        <v>0</v>
      </c>
      <c r="AD140" s="34"/>
      <c r="AE140" s="33">
        <f t="shared" si="2"/>
        <v>923204</v>
      </c>
    </row>
    <row r="141" spans="1:31" ht="12.75" customHeight="1">
      <c r="A141" s="1" t="s">
        <v>748</v>
      </c>
      <c r="C141" s="1" t="s">
        <v>192</v>
      </c>
      <c r="E141" s="34">
        <v>89626</v>
      </c>
      <c r="F141" s="34"/>
      <c r="G141" s="34">
        <v>6800</v>
      </c>
      <c r="H141" s="34"/>
      <c r="I141" s="34">
        <v>0</v>
      </c>
      <c r="J141" s="34"/>
      <c r="K141" s="34">
        <v>1585</v>
      </c>
      <c r="L141" s="34"/>
      <c r="M141" s="34">
        <v>3470</v>
      </c>
      <c r="N141" s="34"/>
      <c r="O141" s="34">
        <v>55765</v>
      </c>
      <c r="P141" s="34"/>
      <c r="Q141" s="34">
        <v>108482</v>
      </c>
      <c r="R141" s="34"/>
      <c r="S141" s="34">
        <v>22077</v>
      </c>
      <c r="T141" s="34"/>
      <c r="U141" s="34">
        <v>0</v>
      </c>
      <c r="V141" s="34"/>
      <c r="W141" s="34">
        <v>0</v>
      </c>
      <c r="X141" s="34"/>
      <c r="Y141" s="34">
        <v>6246</v>
      </c>
      <c r="Z141" s="32"/>
      <c r="AA141" s="34">
        <v>0</v>
      </c>
      <c r="AB141" s="34"/>
      <c r="AC141" s="34">
        <v>0</v>
      </c>
      <c r="AD141" s="34"/>
      <c r="AE141" s="33">
        <f t="shared" si="2"/>
        <v>294051</v>
      </c>
    </row>
    <row r="142" spans="1:31" ht="12.75" customHeight="1">
      <c r="A142" s="1" t="s">
        <v>682</v>
      </c>
      <c r="C142" s="1" t="s">
        <v>179</v>
      </c>
      <c r="E142" s="34">
        <v>48468</v>
      </c>
      <c r="F142" s="34"/>
      <c r="G142" s="34">
        <v>0</v>
      </c>
      <c r="H142" s="34"/>
      <c r="I142" s="34">
        <v>12007</v>
      </c>
      <c r="J142" s="34"/>
      <c r="K142" s="34">
        <v>5666</v>
      </c>
      <c r="L142" s="34"/>
      <c r="M142" s="34">
        <v>0</v>
      </c>
      <c r="N142" s="34"/>
      <c r="O142" s="34">
        <v>0</v>
      </c>
      <c r="P142" s="34"/>
      <c r="Q142" s="34">
        <v>45753</v>
      </c>
      <c r="R142" s="34"/>
      <c r="S142" s="34">
        <v>0</v>
      </c>
      <c r="T142" s="34"/>
      <c r="U142" s="34">
        <v>0</v>
      </c>
      <c r="V142" s="34"/>
      <c r="W142" s="34">
        <v>0</v>
      </c>
      <c r="X142" s="34"/>
      <c r="Y142" s="34">
        <v>7785</v>
      </c>
      <c r="Z142" s="32"/>
      <c r="AA142" s="34">
        <v>5000</v>
      </c>
      <c r="AB142" s="34"/>
      <c r="AC142" s="34">
        <v>0</v>
      </c>
      <c r="AD142" s="34"/>
      <c r="AE142" s="33">
        <f t="shared" si="2"/>
        <v>124679</v>
      </c>
    </row>
    <row r="143" spans="1:31" ht="12.75" customHeight="1">
      <c r="A143" s="1" t="s">
        <v>171</v>
      </c>
      <c r="C143" s="1" t="s">
        <v>172</v>
      </c>
      <c r="E143" s="34">
        <v>3464</v>
      </c>
      <c r="F143" s="34"/>
      <c r="G143" s="34">
        <v>0</v>
      </c>
      <c r="H143" s="34"/>
      <c r="I143" s="34">
        <v>0</v>
      </c>
      <c r="J143" s="34"/>
      <c r="K143" s="34">
        <v>0</v>
      </c>
      <c r="L143" s="34"/>
      <c r="M143" s="34">
        <v>0</v>
      </c>
      <c r="N143" s="34"/>
      <c r="O143" s="34">
        <v>0</v>
      </c>
      <c r="P143" s="34"/>
      <c r="Q143" s="34">
        <v>14992</v>
      </c>
      <c r="R143" s="34"/>
      <c r="S143" s="34">
        <v>0</v>
      </c>
      <c r="T143" s="34"/>
      <c r="U143" s="34">
        <v>0</v>
      </c>
      <c r="V143" s="34"/>
      <c r="W143" s="34">
        <v>0</v>
      </c>
      <c r="X143" s="34"/>
      <c r="Y143" s="34">
        <v>0</v>
      </c>
      <c r="Z143" s="34"/>
      <c r="AA143" s="34">
        <v>0</v>
      </c>
      <c r="AB143" s="32"/>
      <c r="AC143" s="34">
        <v>0</v>
      </c>
      <c r="AD143" s="34"/>
      <c r="AE143" s="33">
        <f t="shared" si="2"/>
        <v>18456</v>
      </c>
    </row>
    <row r="144" spans="1:31" ht="12.75" customHeight="1">
      <c r="A144" s="1" t="s">
        <v>173</v>
      </c>
      <c r="C144" s="1" t="s">
        <v>155</v>
      </c>
      <c r="E144" s="34">
        <v>563028</v>
      </c>
      <c r="F144" s="34"/>
      <c r="G144" s="34">
        <v>0</v>
      </c>
      <c r="H144" s="34"/>
      <c r="I144" s="34">
        <v>22056</v>
      </c>
      <c r="J144" s="34"/>
      <c r="K144" s="34">
        <v>1060</v>
      </c>
      <c r="L144" s="34"/>
      <c r="M144" s="34">
        <v>0</v>
      </c>
      <c r="N144" s="34"/>
      <c r="O144" s="34">
        <v>0</v>
      </c>
      <c r="P144" s="34"/>
      <c r="Q144" s="34">
        <v>212947</v>
      </c>
      <c r="R144" s="34"/>
      <c r="S144" s="34">
        <v>102564</v>
      </c>
      <c r="T144" s="34"/>
      <c r="U144" s="34">
        <v>0</v>
      </c>
      <c r="V144" s="34"/>
      <c r="W144" s="34">
        <v>0</v>
      </c>
      <c r="X144" s="34"/>
      <c r="Y144" s="34">
        <v>39000</v>
      </c>
      <c r="Z144" s="34"/>
      <c r="AA144" s="34">
        <v>0</v>
      </c>
      <c r="AB144" s="32"/>
      <c r="AC144" s="34">
        <v>0</v>
      </c>
      <c r="AD144" s="34"/>
      <c r="AE144" s="33">
        <f t="shared" si="2"/>
        <v>940655</v>
      </c>
    </row>
    <row r="145" spans="1:31" ht="12.75" customHeight="1">
      <c r="A145" s="1" t="s">
        <v>631</v>
      </c>
      <c r="C145" s="1" t="s">
        <v>378</v>
      </c>
      <c r="E145" s="34">
        <v>28163</v>
      </c>
      <c r="F145" s="34"/>
      <c r="G145" s="34">
        <v>4552</v>
      </c>
      <c r="H145" s="34"/>
      <c r="I145" s="34">
        <v>0</v>
      </c>
      <c r="J145" s="34"/>
      <c r="K145" s="34">
        <v>12292</v>
      </c>
      <c r="L145" s="34"/>
      <c r="M145" s="34">
        <v>9908</v>
      </c>
      <c r="N145" s="34"/>
      <c r="O145" s="34">
        <v>18145</v>
      </c>
      <c r="P145" s="34"/>
      <c r="Q145" s="34">
        <v>32414</v>
      </c>
      <c r="R145" s="34"/>
      <c r="S145" s="34">
        <v>0</v>
      </c>
      <c r="T145" s="34"/>
      <c r="U145" s="34">
        <v>0</v>
      </c>
      <c r="V145" s="34"/>
      <c r="W145" s="34">
        <v>0</v>
      </c>
      <c r="X145" s="34"/>
      <c r="Y145" s="34">
        <v>0</v>
      </c>
      <c r="Z145" s="32"/>
      <c r="AA145" s="34">
        <v>0</v>
      </c>
      <c r="AB145" s="34"/>
      <c r="AC145" s="34">
        <v>0</v>
      </c>
      <c r="AD145" s="34"/>
      <c r="AE145" s="33">
        <f t="shared" si="2"/>
        <v>105474</v>
      </c>
    </row>
    <row r="146" spans="1:31" ht="12.75" customHeight="1">
      <c r="A146" s="1" t="s">
        <v>174</v>
      </c>
      <c r="C146" s="1" t="s">
        <v>175</v>
      </c>
      <c r="E146" s="34">
        <v>4922</v>
      </c>
      <c r="F146" s="34"/>
      <c r="G146" s="34">
        <v>5537</v>
      </c>
      <c r="H146" s="34"/>
      <c r="I146" s="34">
        <v>0</v>
      </c>
      <c r="J146" s="34"/>
      <c r="K146" s="34">
        <v>49</v>
      </c>
      <c r="L146" s="34"/>
      <c r="M146" s="34">
        <v>0</v>
      </c>
      <c r="N146" s="34"/>
      <c r="O146" s="34">
        <v>0</v>
      </c>
      <c r="P146" s="34"/>
      <c r="Q146" s="34">
        <v>238673</v>
      </c>
      <c r="R146" s="34"/>
      <c r="S146" s="34">
        <v>0</v>
      </c>
      <c r="T146" s="34"/>
      <c r="U146" s="34">
        <v>0</v>
      </c>
      <c r="V146" s="34"/>
      <c r="W146" s="34">
        <v>0</v>
      </c>
      <c r="X146" s="34"/>
      <c r="Y146" s="34">
        <v>230108</v>
      </c>
      <c r="Z146" s="34"/>
      <c r="AA146" s="34">
        <v>0</v>
      </c>
      <c r="AB146" s="32"/>
      <c r="AC146" s="34">
        <v>0</v>
      </c>
      <c r="AD146" s="34"/>
      <c r="AE146" s="33">
        <f t="shared" si="2"/>
        <v>479289</v>
      </c>
    </row>
    <row r="147" spans="1:31" ht="12.75" customHeight="1">
      <c r="A147" s="1" t="s">
        <v>176</v>
      </c>
      <c r="C147" s="1" t="s">
        <v>177</v>
      </c>
      <c r="E147" s="34">
        <v>204052</v>
      </c>
      <c r="F147" s="34"/>
      <c r="G147" s="34">
        <v>87</v>
      </c>
      <c r="H147" s="34"/>
      <c r="I147" s="34">
        <v>2912</v>
      </c>
      <c r="J147" s="34"/>
      <c r="K147" s="34">
        <v>24479</v>
      </c>
      <c r="L147" s="34"/>
      <c r="M147" s="34">
        <v>3319</v>
      </c>
      <c r="N147" s="34"/>
      <c r="O147" s="34">
        <v>0</v>
      </c>
      <c r="P147" s="34"/>
      <c r="Q147" s="34">
        <v>77680</v>
      </c>
      <c r="R147" s="34"/>
      <c r="S147" s="34">
        <v>37003</v>
      </c>
      <c r="T147" s="34"/>
      <c r="U147" s="34">
        <v>0</v>
      </c>
      <c r="V147" s="34"/>
      <c r="W147" s="34">
        <v>0</v>
      </c>
      <c r="X147" s="34"/>
      <c r="Y147" s="34">
        <v>0</v>
      </c>
      <c r="Z147" s="34"/>
      <c r="AA147" s="34">
        <v>0</v>
      </c>
      <c r="AB147" s="32"/>
      <c r="AC147" s="34">
        <v>0</v>
      </c>
      <c r="AD147" s="34"/>
      <c r="AE147" s="33">
        <f t="shared" si="2"/>
        <v>349532</v>
      </c>
    </row>
    <row r="148" spans="1:31" ht="12.75" customHeight="1">
      <c r="A148" s="1" t="s">
        <v>178</v>
      </c>
      <c r="C148" s="1" t="s">
        <v>179</v>
      </c>
      <c r="E148" s="34">
        <v>180770</v>
      </c>
      <c r="F148" s="34"/>
      <c r="G148" s="34">
        <v>0</v>
      </c>
      <c r="H148" s="34"/>
      <c r="I148" s="34">
        <v>0</v>
      </c>
      <c r="J148" s="34"/>
      <c r="K148" s="34">
        <v>0</v>
      </c>
      <c r="L148" s="34"/>
      <c r="M148" s="34">
        <v>0</v>
      </c>
      <c r="N148" s="34"/>
      <c r="O148" s="34">
        <v>0</v>
      </c>
      <c r="P148" s="34"/>
      <c r="Q148" s="34">
        <v>336183</v>
      </c>
      <c r="R148" s="34"/>
      <c r="S148" s="34">
        <v>0</v>
      </c>
      <c r="T148" s="34"/>
      <c r="U148" s="34">
        <v>0</v>
      </c>
      <c r="V148" s="34"/>
      <c r="W148" s="34">
        <v>0</v>
      </c>
      <c r="X148" s="34"/>
      <c r="Y148" s="34">
        <v>0</v>
      </c>
      <c r="Z148" s="34"/>
      <c r="AA148" s="34">
        <v>0</v>
      </c>
      <c r="AB148" s="32"/>
      <c r="AC148" s="34">
        <v>0</v>
      </c>
      <c r="AD148" s="34"/>
      <c r="AE148" s="33">
        <f t="shared" si="2"/>
        <v>516953</v>
      </c>
    </row>
    <row r="149" spans="1:31" ht="12.75" customHeight="1">
      <c r="A149" s="1" t="s">
        <v>552</v>
      </c>
      <c r="C149" s="1" t="s">
        <v>210</v>
      </c>
      <c r="E149" s="34">
        <v>28355</v>
      </c>
      <c r="F149" s="34"/>
      <c r="G149" s="34">
        <v>3000</v>
      </c>
      <c r="H149" s="34"/>
      <c r="I149" s="34">
        <v>0</v>
      </c>
      <c r="J149" s="34"/>
      <c r="K149" s="34">
        <v>0</v>
      </c>
      <c r="L149" s="34"/>
      <c r="M149" s="34">
        <v>0</v>
      </c>
      <c r="N149" s="34"/>
      <c r="O149" s="34">
        <v>0</v>
      </c>
      <c r="P149" s="34"/>
      <c r="Q149" s="34">
        <v>48879</v>
      </c>
      <c r="R149" s="34"/>
      <c r="S149" s="34">
        <v>0</v>
      </c>
      <c r="T149" s="34"/>
      <c r="U149" s="34">
        <v>0</v>
      </c>
      <c r="V149" s="34"/>
      <c r="W149" s="34">
        <v>7396</v>
      </c>
      <c r="X149" s="34"/>
      <c r="Y149" s="34">
        <v>0</v>
      </c>
      <c r="Z149" s="32"/>
      <c r="AA149" s="34">
        <v>0</v>
      </c>
      <c r="AB149" s="34"/>
      <c r="AC149" s="34">
        <v>0</v>
      </c>
      <c r="AD149" s="34"/>
      <c r="AE149" s="33">
        <f t="shared" si="2"/>
        <v>87630</v>
      </c>
    </row>
    <row r="150" spans="1:31" ht="12.75" customHeight="1">
      <c r="A150" s="1" t="s">
        <v>558</v>
      </c>
      <c r="C150" s="1" t="s">
        <v>199</v>
      </c>
      <c r="E150" s="34">
        <v>5135</v>
      </c>
      <c r="F150" s="34"/>
      <c r="G150" s="34">
        <v>1000</v>
      </c>
      <c r="H150" s="34"/>
      <c r="I150" s="34">
        <v>1000</v>
      </c>
      <c r="J150" s="34"/>
      <c r="K150" s="34">
        <v>0</v>
      </c>
      <c r="L150" s="34"/>
      <c r="M150" s="34">
        <v>0</v>
      </c>
      <c r="N150" s="34"/>
      <c r="O150" s="34">
        <v>0</v>
      </c>
      <c r="P150" s="34"/>
      <c r="Q150" s="34">
        <v>27788</v>
      </c>
      <c r="R150" s="34"/>
      <c r="S150" s="34">
        <v>0</v>
      </c>
      <c r="T150" s="34"/>
      <c r="U150" s="34">
        <v>0</v>
      </c>
      <c r="V150" s="34"/>
      <c r="W150" s="34">
        <v>0</v>
      </c>
      <c r="X150" s="34"/>
      <c r="Y150" s="34">
        <v>0</v>
      </c>
      <c r="Z150" s="32"/>
      <c r="AA150" s="34">
        <v>0</v>
      </c>
      <c r="AB150" s="34"/>
      <c r="AC150" s="34">
        <v>0</v>
      </c>
      <c r="AD150" s="34"/>
      <c r="AE150" s="33">
        <f t="shared" si="2"/>
        <v>34923</v>
      </c>
    </row>
    <row r="151" spans="1:31" ht="12.75" customHeight="1">
      <c r="A151" s="1" t="s">
        <v>768</v>
      </c>
      <c r="C151" s="1" t="s">
        <v>94</v>
      </c>
      <c r="E151" s="34">
        <v>1226</v>
      </c>
      <c r="F151" s="34"/>
      <c r="G151" s="34">
        <v>364</v>
      </c>
      <c r="H151" s="34"/>
      <c r="I151" s="34">
        <v>1207</v>
      </c>
      <c r="J151" s="34"/>
      <c r="K151" s="34">
        <v>260</v>
      </c>
      <c r="L151" s="34"/>
      <c r="M151" s="34">
        <v>0</v>
      </c>
      <c r="N151" s="34"/>
      <c r="O151" s="34">
        <v>0</v>
      </c>
      <c r="P151" s="34"/>
      <c r="Q151" s="34">
        <v>25418</v>
      </c>
      <c r="R151" s="34"/>
      <c r="S151" s="34">
        <v>650</v>
      </c>
      <c r="T151" s="34"/>
      <c r="U151" s="34">
        <v>0</v>
      </c>
      <c r="V151" s="34"/>
      <c r="W151" s="34">
        <v>0</v>
      </c>
      <c r="X151" s="34"/>
      <c r="Y151" s="34">
        <v>0</v>
      </c>
      <c r="Z151" s="32"/>
      <c r="AA151" s="34">
        <v>0</v>
      </c>
      <c r="AB151" s="34"/>
      <c r="AC151" s="34">
        <v>0</v>
      </c>
      <c r="AD151" s="34"/>
      <c r="AE151" s="33">
        <f t="shared" si="2"/>
        <v>29125</v>
      </c>
    </row>
    <row r="152" spans="1:31" ht="12.75" customHeight="1">
      <c r="A152" s="1" t="s">
        <v>769</v>
      </c>
      <c r="C152" s="1" t="s">
        <v>94</v>
      </c>
      <c r="E152" s="34">
        <v>23730</v>
      </c>
      <c r="F152" s="34"/>
      <c r="G152" s="34">
        <v>0</v>
      </c>
      <c r="H152" s="34"/>
      <c r="I152" s="34">
        <v>10167</v>
      </c>
      <c r="J152" s="34"/>
      <c r="K152" s="34">
        <v>0</v>
      </c>
      <c r="L152" s="34"/>
      <c r="M152" s="34">
        <v>9428</v>
      </c>
      <c r="N152" s="34"/>
      <c r="O152" s="34">
        <v>0</v>
      </c>
      <c r="P152" s="34"/>
      <c r="Q152" s="34">
        <v>115075</v>
      </c>
      <c r="R152" s="34"/>
      <c r="S152" s="34">
        <v>0</v>
      </c>
      <c r="T152" s="34"/>
      <c r="U152" s="34">
        <v>0</v>
      </c>
      <c r="V152" s="34"/>
      <c r="W152" s="34">
        <v>0</v>
      </c>
      <c r="X152" s="34"/>
      <c r="Y152" s="34">
        <v>0</v>
      </c>
      <c r="Z152" s="32"/>
      <c r="AA152" s="34">
        <v>0</v>
      </c>
      <c r="AB152" s="34"/>
      <c r="AC152" s="34">
        <v>0</v>
      </c>
      <c r="AD152" s="34"/>
      <c r="AE152" s="33">
        <f t="shared" si="2"/>
        <v>158400</v>
      </c>
    </row>
    <row r="153" spans="1:31" ht="12.75" customHeight="1">
      <c r="A153" s="1" t="s">
        <v>180</v>
      </c>
      <c r="C153" s="1" t="s">
        <v>84</v>
      </c>
      <c r="E153" s="34">
        <v>243597</v>
      </c>
      <c r="F153" s="34"/>
      <c r="G153" s="34">
        <v>7834</v>
      </c>
      <c r="H153" s="34"/>
      <c r="I153" s="34">
        <v>7951</v>
      </c>
      <c r="J153" s="34"/>
      <c r="K153" s="34">
        <v>0</v>
      </c>
      <c r="L153" s="34"/>
      <c r="M153" s="34">
        <v>1792</v>
      </c>
      <c r="N153" s="34"/>
      <c r="O153" s="34">
        <v>40117</v>
      </c>
      <c r="P153" s="34"/>
      <c r="Q153" s="34">
        <v>94947</v>
      </c>
      <c r="R153" s="34"/>
      <c r="S153" s="34">
        <v>1005</v>
      </c>
      <c r="T153" s="34"/>
      <c r="U153" s="34">
        <v>0</v>
      </c>
      <c r="V153" s="34"/>
      <c r="W153" s="34">
        <v>0</v>
      </c>
      <c r="X153" s="34"/>
      <c r="Y153" s="34">
        <v>52425</v>
      </c>
      <c r="Z153" s="34"/>
      <c r="AA153" s="34">
        <v>50000</v>
      </c>
      <c r="AB153" s="32"/>
      <c r="AC153" s="34">
        <v>0</v>
      </c>
      <c r="AD153" s="34"/>
      <c r="AE153" s="33">
        <f t="shared" si="2"/>
        <v>499668</v>
      </c>
    </row>
    <row r="154" spans="1:31" ht="12.75" customHeight="1">
      <c r="A154" s="1" t="s">
        <v>181</v>
      </c>
      <c r="C154" s="1" t="s">
        <v>182</v>
      </c>
      <c r="E154" s="34">
        <v>10725</v>
      </c>
      <c r="F154" s="34"/>
      <c r="G154" s="34">
        <v>720</v>
      </c>
      <c r="H154" s="34"/>
      <c r="I154" s="34">
        <v>51</v>
      </c>
      <c r="J154" s="34"/>
      <c r="K154" s="34">
        <v>0</v>
      </c>
      <c r="L154" s="34"/>
      <c r="M154" s="34">
        <v>0</v>
      </c>
      <c r="N154" s="34"/>
      <c r="O154" s="34">
        <v>0</v>
      </c>
      <c r="P154" s="34"/>
      <c r="Q154" s="34">
        <v>116330</v>
      </c>
      <c r="R154" s="34"/>
      <c r="S154" s="34">
        <v>0</v>
      </c>
      <c r="T154" s="34"/>
      <c r="U154" s="34">
        <v>0</v>
      </c>
      <c r="V154" s="34"/>
      <c r="W154" s="34">
        <v>0</v>
      </c>
      <c r="X154" s="34"/>
      <c r="Y154" s="34">
        <v>115010</v>
      </c>
      <c r="Z154" s="34"/>
      <c r="AA154" s="34">
        <v>0</v>
      </c>
      <c r="AB154" s="32"/>
      <c r="AC154" s="34">
        <v>0</v>
      </c>
      <c r="AD154" s="34"/>
      <c r="AE154" s="33">
        <f t="shared" si="2"/>
        <v>242836</v>
      </c>
    </row>
    <row r="155" spans="1:31" ht="12.75" customHeight="1">
      <c r="A155" s="1" t="s">
        <v>183</v>
      </c>
      <c r="C155" s="1" t="s">
        <v>184</v>
      </c>
      <c r="E155" s="34">
        <v>5385</v>
      </c>
      <c r="F155" s="34"/>
      <c r="G155" s="34">
        <v>328</v>
      </c>
      <c r="H155" s="34"/>
      <c r="I155" s="34">
        <v>1226</v>
      </c>
      <c r="J155" s="34"/>
      <c r="K155" s="34">
        <v>0</v>
      </c>
      <c r="L155" s="34"/>
      <c r="M155" s="34">
        <v>0</v>
      </c>
      <c r="N155" s="34"/>
      <c r="O155" s="34">
        <v>0</v>
      </c>
      <c r="P155" s="34"/>
      <c r="Q155" s="34">
        <v>18764</v>
      </c>
      <c r="R155" s="34"/>
      <c r="S155" s="34">
        <v>0</v>
      </c>
      <c r="T155" s="34"/>
      <c r="U155" s="34">
        <v>5000</v>
      </c>
      <c r="V155" s="34"/>
      <c r="W155" s="34">
        <v>311</v>
      </c>
      <c r="X155" s="34"/>
      <c r="Y155" s="34">
        <v>0</v>
      </c>
      <c r="Z155" s="34"/>
      <c r="AA155" s="34">
        <v>0</v>
      </c>
      <c r="AB155" s="32"/>
      <c r="AC155" s="34">
        <v>0</v>
      </c>
      <c r="AD155" s="34"/>
      <c r="AE155" s="33">
        <f t="shared" si="2"/>
        <v>31014</v>
      </c>
    </row>
    <row r="156" spans="1:31" ht="12.75" customHeight="1">
      <c r="A156" s="1" t="s">
        <v>185</v>
      </c>
      <c r="C156" s="1" t="s">
        <v>133</v>
      </c>
      <c r="E156" s="34">
        <v>1651</v>
      </c>
      <c r="F156" s="34"/>
      <c r="G156" s="34">
        <v>600</v>
      </c>
      <c r="H156" s="34"/>
      <c r="I156" s="34">
        <v>0</v>
      </c>
      <c r="J156" s="34"/>
      <c r="K156" s="34">
        <v>0</v>
      </c>
      <c r="L156" s="34"/>
      <c r="M156" s="34">
        <v>0</v>
      </c>
      <c r="N156" s="34"/>
      <c r="O156" s="34">
        <v>0</v>
      </c>
      <c r="P156" s="34"/>
      <c r="Q156" s="34">
        <v>21296</v>
      </c>
      <c r="R156" s="34"/>
      <c r="S156" s="34">
        <v>0</v>
      </c>
      <c r="T156" s="34"/>
      <c r="U156" s="34">
        <v>0</v>
      </c>
      <c r="V156" s="34"/>
      <c r="W156" s="34">
        <v>0</v>
      </c>
      <c r="X156" s="34"/>
      <c r="Y156" s="34">
        <v>0</v>
      </c>
      <c r="Z156" s="34"/>
      <c r="AA156" s="34">
        <v>0</v>
      </c>
      <c r="AB156" s="32"/>
      <c r="AC156" s="34">
        <v>0</v>
      </c>
      <c r="AD156" s="34"/>
      <c r="AE156" s="33">
        <f t="shared" si="2"/>
        <v>23547</v>
      </c>
    </row>
    <row r="157" spans="1:31" ht="12.75" customHeight="1">
      <c r="A157" s="1" t="s">
        <v>617</v>
      </c>
      <c r="C157" s="1" t="s">
        <v>369</v>
      </c>
      <c r="E157" s="34">
        <v>115208</v>
      </c>
      <c r="F157" s="34"/>
      <c r="G157" s="34">
        <v>0</v>
      </c>
      <c r="H157" s="34"/>
      <c r="I157" s="34">
        <v>13999</v>
      </c>
      <c r="J157" s="34"/>
      <c r="K157" s="34">
        <v>3389</v>
      </c>
      <c r="L157" s="34"/>
      <c r="M157" s="34">
        <v>10220</v>
      </c>
      <c r="N157" s="34"/>
      <c r="O157" s="34">
        <v>70594</v>
      </c>
      <c r="P157" s="34"/>
      <c r="Q157" s="34">
        <v>145554</v>
      </c>
      <c r="R157" s="34"/>
      <c r="S157" s="34">
        <v>0</v>
      </c>
      <c r="T157" s="34"/>
      <c r="U157" s="34">
        <v>0</v>
      </c>
      <c r="V157" s="34"/>
      <c r="W157" s="34">
        <v>0</v>
      </c>
      <c r="X157" s="34"/>
      <c r="Y157" s="34">
        <v>0</v>
      </c>
      <c r="Z157" s="32"/>
      <c r="AA157" s="34">
        <v>0</v>
      </c>
      <c r="AB157" s="34"/>
      <c r="AC157" s="34">
        <v>0</v>
      </c>
      <c r="AD157" s="34"/>
      <c r="AE157" s="33">
        <f t="shared" si="2"/>
        <v>358964</v>
      </c>
    </row>
    <row r="158" spans="1:31" ht="12.75" customHeight="1">
      <c r="A158" s="1" t="s">
        <v>481</v>
      </c>
      <c r="C158" s="1" t="s">
        <v>153</v>
      </c>
      <c r="E158" s="34">
        <v>17038</v>
      </c>
      <c r="F158" s="34"/>
      <c r="G158" s="34">
        <v>971</v>
      </c>
      <c r="H158" s="34"/>
      <c r="I158" s="34">
        <v>0</v>
      </c>
      <c r="J158" s="34"/>
      <c r="K158" s="34">
        <v>44</v>
      </c>
      <c r="L158" s="34"/>
      <c r="M158" s="34">
        <v>0</v>
      </c>
      <c r="N158" s="34"/>
      <c r="O158" s="34">
        <v>25</v>
      </c>
      <c r="P158" s="34"/>
      <c r="Q158" s="34">
        <v>46499</v>
      </c>
      <c r="R158" s="34"/>
      <c r="S158" s="34">
        <v>5800</v>
      </c>
      <c r="T158" s="34"/>
      <c r="U158" s="34">
        <v>0</v>
      </c>
      <c r="V158" s="34"/>
      <c r="W158" s="34">
        <v>0</v>
      </c>
      <c r="X158" s="34"/>
      <c r="Y158" s="34">
        <v>0</v>
      </c>
      <c r="Z158" s="32"/>
      <c r="AA158" s="34">
        <v>0</v>
      </c>
      <c r="AB158" s="34"/>
      <c r="AC158" s="34">
        <v>0</v>
      </c>
      <c r="AD158" s="34"/>
      <c r="AE158" s="33">
        <f t="shared" si="2"/>
        <v>70377</v>
      </c>
    </row>
    <row r="159" spans="1:31" ht="12.75" customHeight="1">
      <c r="A159" s="1" t="s">
        <v>186</v>
      </c>
      <c r="C159" s="1" t="s">
        <v>87</v>
      </c>
      <c r="E159" s="34">
        <v>463268</v>
      </c>
      <c r="F159" s="34"/>
      <c r="G159" s="34">
        <v>20722</v>
      </c>
      <c r="H159" s="34"/>
      <c r="I159" s="34">
        <v>0</v>
      </c>
      <c r="J159" s="34"/>
      <c r="K159" s="34">
        <v>7990</v>
      </c>
      <c r="L159" s="34"/>
      <c r="M159" s="34">
        <v>76050</v>
      </c>
      <c r="N159" s="34"/>
      <c r="O159" s="34">
        <v>58245</v>
      </c>
      <c r="P159" s="34"/>
      <c r="Q159" s="34">
        <v>196166</v>
      </c>
      <c r="R159" s="34"/>
      <c r="S159" s="34">
        <v>3290</v>
      </c>
      <c r="T159" s="34"/>
      <c r="U159" s="34">
        <v>0</v>
      </c>
      <c r="V159" s="34"/>
      <c r="W159" s="34">
        <v>0</v>
      </c>
      <c r="X159" s="34"/>
      <c r="Y159" s="34">
        <v>39</v>
      </c>
      <c r="Z159" s="34"/>
      <c r="AA159" s="34">
        <v>0</v>
      </c>
      <c r="AB159" s="32"/>
      <c r="AC159" s="34">
        <v>100</v>
      </c>
      <c r="AD159" s="34"/>
      <c r="AE159" s="33">
        <f t="shared" si="2"/>
        <v>825870</v>
      </c>
    </row>
    <row r="160" spans="1:31" ht="12.75" customHeight="1">
      <c r="A160" s="1" t="s">
        <v>738</v>
      </c>
      <c r="C160" s="1" t="s">
        <v>96</v>
      </c>
      <c r="E160" s="34">
        <v>581655</v>
      </c>
      <c r="F160" s="34"/>
      <c r="G160" s="34">
        <v>658</v>
      </c>
      <c r="H160" s="34"/>
      <c r="I160" s="34">
        <v>0</v>
      </c>
      <c r="J160" s="34"/>
      <c r="K160" s="34">
        <v>12287</v>
      </c>
      <c r="L160" s="34"/>
      <c r="M160" s="34">
        <v>22659</v>
      </c>
      <c r="N160" s="34"/>
      <c r="O160" s="34">
        <v>0</v>
      </c>
      <c r="P160" s="34"/>
      <c r="Q160" s="34">
        <v>268227</v>
      </c>
      <c r="R160" s="34"/>
      <c r="S160" s="34">
        <v>0</v>
      </c>
      <c r="T160" s="34"/>
      <c r="U160" s="34">
        <v>0</v>
      </c>
      <c r="V160" s="34"/>
      <c r="W160" s="34">
        <v>0</v>
      </c>
      <c r="X160" s="34"/>
      <c r="Y160" s="34">
        <v>70000</v>
      </c>
      <c r="Z160" s="32"/>
      <c r="AA160" s="34">
        <v>0</v>
      </c>
      <c r="AB160" s="34"/>
      <c r="AC160" s="34">
        <v>50</v>
      </c>
      <c r="AD160" s="34"/>
      <c r="AE160" s="33">
        <f t="shared" si="2"/>
        <v>955536</v>
      </c>
    </row>
    <row r="161" spans="1:31" ht="12.75" customHeight="1">
      <c r="A161" s="1" t="s">
        <v>583</v>
      </c>
      <c r="C161" s="1" t="s">
        <v>239</v>
      </c>
      <c r="E161" s="34">
        <v>198943</v>
      </c>
      <c r="F161" s="34"/>
      <c r="G161" s="34">
        <v>6000</v>
      </c>
      <c r="H161" s="34"/>
      <c r="I161" s="34">
        <v>6486</v>
      </c>
      <c r="J161" s="34"/>
      <c r="K161" s="34">
        <v>0</v>
      </c>
      <c r="L161" s="34"/>
      <c r="M161" s="34">
        <v>3000</v>
      </c>
      <c r="N161" s="34"/>
      <c r="O161" s="34">
        <v>992</v>
      </c>
      <c r="P161" s="34"/>
      <c r="Q161" s="34">
        <v>72381</v>
      </c>
      <c r="R161" s="34"/>
      <c r="S161" s="34">
        <v>18000</v>
      </c>
      <c r="T161" s="34"/>
      <c r="U161" s="34">
        <v>0</v>
      </c>
      <c r="V161" s="34"/>
      <c r="W161" s="34">
        <v>0</v>
      </c>
      <c r="X161" s="34"/>
      <c r="Y161" s="34">
        <v>77349</v>
      </c>
      <c r="Z161" s="32"/>
      <c r="AA161" s="34">
        <v>0</v>
      </c>
      <c r="AB161" s="34"/>
      <c r="AC161" s="34">
        <v>1000</v>
      </c>
      <c r="AD161" s="34"/>
      <c r="AE161" s="33">
        <f t="shared" si="2"/>
        <v>384151</v>
      </c>
    </row>
    <row r="162" spans="1:31" ht="12.75" customHeight="1">
      <c r="A162" s="1" t="s">
        <v>598</v>
      </c>
      <c r="C162" s="1" t="s">
        <v>69</v>
      </c>
      <c r="E162" s="34">
        <v>65570</v>
      </c>
      <c r="F162" s="34"/>
      <c r="G162" s="34">
        <v>1000</v>
      </c>
      <c r="H162" s="34"/>
      <c r="I162" s="34">
        <v>11805</v>
      </c>
      <c r="J162" s="34"/>
      <c r="K162" s="34">
        <v>0</v>
      </c>
      <c r="L162" s="34"/>
      <c r="M162" s="34">
        <v>0</v>
      </c>
      <c r="N162" s="34"/>
      <c r="O162" s="34">
        <v>3458</v>
      </c>
      <c r="P162" s="34"/>
      <c r="Q162" s="34">
        <v>51694</v>
      </c>
      <c r="R162" s="34"/>
      <c r="S162" s="34">
        <v>4445</v>
      </c>
      <c r="T162" s="34"/>
      <c r="U162" s="34">
        <v>0</v>
      </c>
      <c r="V162" s="34"/>
      <c r="W162" s="34">
        <v>0</v>
      </c>
      <c r="X162" s="34"/>
      <c r="Y162" s="34">
        <v>5467</v>
      </c>
      <c r="Z162" s="32"/>
      <c r="AA162" s="34">
        <v>0</v>
      </c>
      <c r="AB162" s="34"/>
      <c r="AC162" s="34">
        <v>0</v>
      </c>
      <c r="AD162" s="34"/>
      <c r="AE162" s="33">
        <f t="shared" si="2"/>
        <v>143439</v>
      </c>
    </row>
    <row r="163" spans="1:31" ht="12.75" customHeight="1">
      <c r="A163" s="1" t="s">
        <v>187</v>
      </c>
      <c r="C163" s="1" t="s">
        <v>84</v>
      </c>
      <c r="E163" s="34">
        <v>395464</v>
      </c>
      <c r="F163" s="34"/>
      <c r="G163" s="34">
        <v>53804</v>
      </c>
      <c r="H163" s="34"/>
      <c r="I163" s="34">
        <v>73945</v>
      </c>
      <c r="J163" s="34"/>
      <c r="K163" s="34">
        <v>61867</v>
      </c>
      <c r="L163" s="34"/>
      <c r="M163" s="34">
        <v>0</v>
      </c>
      <c r="N163" s="34"/>
      <c r="O163" s="34">
        <v>0</v>
      </c>
      <c r="P163" s="34"/>
      <c r="Q163" s="34">
        <v>337492</v>
      </c>
      <c r="R163" s="34"/>
      <c r="S163" s="34">
        <v>0</v>
      </c>
      <c r="T163" s="34"/>
      <c r="U163" s="34">
        <v>0</v>
      </c>
      <c r="V163" s="34"/>
      <c r="W163" s="34">
        <v>0</v>
      </c>
      <c r="X163" s="34"/>
      <c r="Y163" s="34">
        <v>0</v>
      </c>
      <c r="Z163" s="34"/>
      <c r="AA163" s="34">
        <v>0</v>
      </c>
      <c r="AB163" s="32"/>
      <c r="AC163" s="34">
        <v>0</v>
      </c>
      <c r="AD163" s="34"/>
      <c r="AE163" s="33">
        <f t="shared" si="2"/>
        <v>922572</v>
      </c>
    </row>
    <row r="164" spans="1:31" ht="12.75" customHeight="1">
      <c r="A164" s="1" t="s">
        <v>668</v>
      </c>
      <c r="C164" s="1" t="s">
        <v>67</v>
      </c>
      <c r="E164" s="34">
        <v>223840</v>
      </c>
      <c r="F164" s="34"/>
      <c r="G164" s="34">
        <v>0</v>
      </c>
      <c r="H164" s="34"/>
      <c r="I164" s="34">
        <v>11226</v>
      </c>
      <c r="J164" s="34"/>
      <c r="K164" s="34">
        <v>0</v>
      </c>
      <c r="L164" s="34"/>
      <c r="M164" s="34">
        <v>0</v>
      </c>
      <c r="N164" s="34"/>
      <c r="O164" s="34">
        <v>0</v>
      </c>
      <c r="P164" s="34"/>
      <c r="Q164" s="34">
        <v>119526</v>
      </c>
      <c r="R164" s="34"/>
      <c r="S164" s="34">
        <v>5861</v>
      </c>
      <c r="T164" s="34"/>
      <c r="U164" s="34">
        <v>0</v>
      </c>
      <c r="V164" s="34"/>
      <c r="W164" s="34">
        <v>0</v>
      </c>
      <c r="X164" s="34"/>
      <c r="Y164" s="34">
        <v>18</v>
      </c>
      <c r="Z164" s="32"/>
      <c r="AA164" s="34">
        <v>0</v>
      </c>
      <c r="AB164" s="34"/>
      <c r="AC164" s="34">
        <v>0</v>
      </c>
      <c r="AD164" s="34"/>
      <c r="AE164" s="33">
        <f t="shared" si="2"/>
        <v>360471</v>
      </c>
    </row>
    <row r="165" spans="1:31" ht="12.75" customHeight="1">
      <c r="A165" s="1" t="s">
        <v>575</v>
      </c>
      <c r="C165" s="1" t="s">
        <v>65</v>
      </c>
      <c r="E165" s="34">
        <v>10438</v>
      </c>
      <c r="F165" s="34"/>
      <c r="G165" s="34">
        <v>8804</v>
      </c>
      <c r="H165" s="34"/>
      <c r="I165" s="34">
        <v>13946</v>
      </c>
      <c r="J165" s="34"/>
      <c r="K165" s="34">
        <v>381</v>
      </c>
      <c r="L165" s="34"/>
      <c r="M165" s="34">
        <v>21888</v>
      </c>
      <c r="N165" s="34"/>
      <c r="O165" s="34">
        <v>6669</v>
      </c>
      <c r="P165" s="34"/>
      <c r="Q165" s="34">
        <v>80748</v>
      </c>
      <c r="R165" s="34"/>
      <c r="S165" s="34">
        <v>0</v>
      </c>
      <c r="T165" s="34"/>
      <c r="U165" s="34">
        <v>0</v>
      </c>
      <c r="V165" s="34"/>
      <c r="W165" s="34">
        <v>0</v>
      </c>
      <c r="X165" s="34"/>
      <c r="Y165" s="34">
        <v>0</v>
      </c>
      <c r="Z165" s="32"/>
      <c r="AA165" s="34">
        <v>0</v>
      </c>
      <c r="AB165" s="34"/>
      <c r="AC165" s="34">
        <v>0</v>
      </c>
      <c r="AD165" s="34"/>
      <c r="AE165" s="33">
        <f t="shared" si="2"/>
        <v>142874</v>
      </c>
    </row>
    <row r="166" spans="1:31" ht="12.75" customHeight="1">
      <c r="A166" s="1" t="s">
        <v>702</v>
      </c>
      <c r="C166" s="1" t="s">
        <v>110</v>
      </c>
      <c r="E166" s="34">
        <v>2681</v>
      </c>
      <c r="F166" s="34"/>
      <c r="G166" s="34">
        <v>866</v>
      </c>
      <c r="H166" s="34"/>
      <c r="I166" s="34">
        <v>4050</v>
      </c>
      <c r="J166" s="34"/>
      <c r="K166" s="34">
        <v>0</v>
      </c>
      <c r="L166" s="34"/>
      <c r="M166" s="34">
        <v>5261</v>
      </c>
      <c r="N166" s="34"/>
      <c r="O166" s="34">
        <v>24408</v>
      </c>
      <c r="P166" s="34"/>
      <c r="Q166" s="34">
        <v>35231</v>
      </c>
      <c r="R166" s="34"/>
      <c r="S166" s="34">
        <v>0</v>
      </c>
      <c r="T166" s="34"/>
      <c r="U166" s="34">
        <v>0</v>
      </c>
      <c r="V166" s="34"/>
      <c r="W166" s="34">
        <v>0</v>
      </c>
      <c r="X166" s="34"/>
      <c r="Y166" s="34">
        <v>0</v>
      </c>
      <c r="Z166" s="32"/>
      <c r="AA166" s="34">
        <v>0</v>
      </c>
      <c r="AB166" s="34"/>
      <c r="AC166" s="34">
        <v>3372</v>
      </c>
      <c r="AD166" s="34"/>
      <c r="AE166" s="33">
        <f t="shared" si="2"/>
        <v>75869</v>
      </c>
    </row>
    <row r="167" spans="1:31" ht="12.75" customHeight="1">
      <c r="A167" s="1" t="s">
        <v>188</v>
      </c>
      <c r="C167" s="1" t="s">
        <v>106</v>
      </c>
      <c r="E167" s="34">
        <v>243321</v>
      </c>
      <c r="F167" s="34"/>
      <c r="G167" s="34">
        <v>5200</v>
      </c>
      <c r="H167" s="34"/>
      <c r="I167" s="34">
        <v>5427</v>
      </c>
      <c r="J167" s="34"/>
      <c r="K167" s="34">
        <v>2064</v>
      </c>
      <c r="L167" s="34"/>
      <c r="M167" s="34">
        <v>5627</v>
      </c>
      <c r="N167" s="34"/>
      <c r="O167" s="34">
        <v>0</v>
      </c>
      <c r="P167" s="34"/>
      <c r="Q167" s="34">
        <v>157725</v>
      </c>
      <c r="R167" s="34"/>
      <c r="S167" s="34">
        <v>38349</v>
      </c>
      <c r="T167" s="34"/>
      <c r="U167" s="34">
        <v>0</v>
      </c>
      <c r="V167" s="34"/>
      <c r="W167" s="34">
        <v>0</v>
      </c>
      <c r="X167" s="34"/>
      <c r="Y167" s="34">
        <v>1255</v>
      </c>
      <c r="Z167" s="34"/>
      <c r="AA167" s="34">
        <v>0</v>
      </c>
      <c r="AB167" s="32"/>
      <c r="AC167" s="34">
        <v>0</v>
      </c>
      <c r="AD167" s="34"/>
      <c r="AE167" s="33">
        <f t="shared" si="2"/>
        <v>458968</v>
      </c>
    </row>
    <row r="168" spans="1:31" ht="12.75" customHeight="1">
      <c r="A168" s="1" t="s">
        <v>729</v>
      </c>
      <c r="C168" s="1" t="s">
        <v>106</v>
      </c>
      <c r="E168" s="34">
        <v>43703</v>
      </c>
      <c r="F168" s="34"/>
      <c r="G168" s="34">
        <v>5865</v>
      </c>
      <c r="H168" s="34"/>
      <c r="I168" s="34">
        <v>0</v>
      </c>
      <c r="J168" s="34"/>
      <c r="K168" s="34">
        <v>0</v>
      </c>
      <c r="L168" s="34"/>
      <c r="M168" s="34">
        <v>0</v>
      </c>
      <c r="N168" s="34"/>
      <c r="O168" s="34">
        <v>16674</v>
      </c>
      <c r="P168" s="34"/>
      <c r="Q168" s="34">
        <v>82712</v>
      </c>
      <c r="R168" s="34"/>
      <c r="S168" s="34">
        <v>4916</v>
      </c>
      <c r="T168" s="34"/>
      <c r="U168" s="34">
        <v>8205</v>
      </c>
      <c r="V168" s="34"/>
      <c r="W168" s="34">
        <v>186</v>
      </c>
      <c r="X168" s="34"/>
      <c r="Y168" s="34">
        <v>9000</v>
      </c>
      <c r="Z168" s="32"/>
      <c r="AA168" s="34">
        <v>0</v>
      </c>
      <c r="AB168" s="34"/>
      <c r="AC168" s="34">
        <v>0</v>
      </c>
      <c r="AD168" s="34"/>
      <c r="AE168" s="33">
        <f t="shared" si="2"/>
        <v>171261</v>
      </c>
    </row>
    <row r="169" spans="1:31" ht="12.75" customHeight="1">
      <c r="A169" s="1" t="s">
        <v>189</v>
      </c>
      <c r="C169" s="1" t="s">
        <v>190</v>
      </c>
      <c r="E169" s="34">
        <v>318295</v>
      </c>
      <c r="F169" s="34"/>
      <c r="G169" s="34">
        <v>9929</v>
      </c>
      <c r="H169" s="34"/>
      <c r="I169" s="34">
        <v>45333</v>
      </c>
      <c r="J169" s="34"/>
      <c r="K169" s="34">
        <v>0</v>
      </c>
      <c r="L169" s="34"/>
      <c r="M169" s="34">
        <v>0</v>
      </c>
      <c r="N169" s="34"/>
      <c r="O169" s="34">
        <v>88435</v>
      </c>
      <c r="P169" s="34"/>
      <c r="Q169" s="34">
        <v>205760</v>
      </c>
      <c r="R169" s="34"/>
      <c r="S169" s="34">
        <v>321</v>
      </c>
      <c r="T169" s="34"/>
      <c r="U169" s="34">
        <v>0</v>
      </c>
      <c r="V169" s="34"/>
      <c r="W169" s="34">
        <v>0</v>
      </c>
      <c r="X169" s="34"/>
      <c r="Y169" s="34">
        <v>267910</v>
      </c>
      <c r="Z169" s="34"/>
      <c r="AA169" s="34">
        <v>0</v>
      </c>
      <c r="AB169" s="32"/>
      <c r="AC169" s="34">
        <v>0</v>
      </c>
      <c r="AD169" s="34"/>
      <c r="AE169" s="33">
        <f t="shared" si="2"/>
        <v>935983</v>
      </c>
    </row>
    <row r="170" spans="1:31" ht="12.75" customHeight="1">
      <c r="A170" s="1" t="s">
        <v>666</v>
      </c>
      <c r="C170" s="1" t="s">
        <v>309</v>
      </c>
      <c r="E170" s="34">
        <v>14706</v>
      </c>
      <c r="F170" s="34"/>
      <c r="G170" s="34">
        <v>0</v>
      </c>
      <c r="H170" s="34"/>
      <c r="I170" s="34">
        <v>0</v>
      </c>
      <c r="J170" s="34"/>
      <c r="K170" s="34">
        <v>0</v>
      </c>
      <c r="L170" s="34"/>
      <c r="M170" s="34">
        <v>0</v>
      </c>
      <c r="N170" s="34"/>
      <c r="O170" s="34">
        <v>0</v>
      </c>
      <c r="P170" s="34"/>
      <c r="Q170" s="34">
        <v>48900</v>
      </c>
      <c r="R170" s="34"/>
      <c r="S170" s="34">
        <v>0</v>
      </c>
      <c r="T170" s="34"/>
      <c r="U170" s="34">
        <v>0</v>
      </c>
      <c r="V170" s="34"/>
      <c r="W170" s="34">
        <v>0</v>
      </c>
      <c r="X170" s="34"/>
      <c r="Y170" s="34">
        <v>0</v>
      </c>
      <c r="Z170" s="32"/>
      <c r="AA170" s="34">
        <v>0</v>
      </c>
      <c r="AB170" s="34"/>
      <c r="AC170" s="34">
        <v>0</v>
      </c>
      <c r="AD170" s="34"/>
      <c r="AE170" s="33">
        <f t="shared" si="2"/>
        <v>63606</v>
      </c>
    </row>
    <row r="171" spans="1:31" ht="12.75" customHeight="1">
      <c r="A171" s="1" t="s">
        <v>766</v>
      </c>
      <c r="C171" s="1" t="s">
        <v>190</v>
      </c>
      <c r="E171" s="34">
        <v>130991</v>
      </c>
      <c r="F171" s="34"/>
      <c r="G171" s="34">
        <v>4995</v>
      </c>
      <c r="H171" s="34"/>
      <c r="I171" s="34">
        <v>26112</v>
      </c>
      <c r="J171" s="34"/>
      <c r="K171" s="34">
        <v>0</v>
      </c>
      <c r="L171" s="34"/>
      <c r="M171" s="34">
        <v>0</v>
      </c>
      <c r="N171" s="34"/>
      <c r="O171" s="34">
        <v>41646</v>
      </c>
      <c r="P171" s="34"/>
      <c r="Q171" s="34">
        <v>83761</v>
      </c>
      <c r="R171" s="34"/>
      <c r="S171" s="34">
        <v>0</v>
      </c>
      <c r="T171" s="34"/>
      <c r="U171" s="34">
        <v>0</v>
      </c>
      <c r="V171" s="34"/>
      <c r="W171" s="34">
        <v>0</v>
      </c>
      <c r="X171" s="34"/>
      <c r="Y171" s="34">
        <v>0</v>
      </c>
      <c r="Z171" s="32"/>
      <c r="AA171" s="34">
        <v>0</v>
      </c>
      <c r="AB171" s="34"/>
      <c r="AC171" s="34">
        <v>3721</v>
      </c>
      <c r="AD171" s="34"/>
      <c r="AE171" s="33">
        <f t="shared" si="2"/>
        <v>291226</v>
      </c>
    </row>
    <row r="172" spans="1:31" ht="12.75" customHeight="1">
      <c r="A172" s="1" t="s">
        <v>697</v>
      </c>
      <c r="C172" s="1" t="s">
        <v>225</v>
      </c>
      <c r="E172" s="34">
        <v>749</v>
      </c>
      <c r="F172" s="34"/>
      <c r="G172" s="34">
        <v>966</v>
      </c>
      <c r="H172" s="34"/>
      <c r="I172" s="34">
        <v>2684</v>
      </c>
      <c r="J172" s="34"/>
      <c r="K172" s="34">
        <v>136</v>
      </c>
      <c r="L172" s="34"/>
      <c r="M172" s="34">
        <v>31744</v>
      </c>
      <c r="N172" s="34"/>
      <c r="O172" s="34">
        <v>0</v>
      </c>
      <c r="P172" s="34"/>
      <c r="Q172" s="34">
        <v>74969</v>
      </c>
      <c r="R172" s="34"/>
      <c r="S172" s="34">
        <v>15329</v>
      </c>
      <c r="T172" s="34"/>
      <c r="U172" s="34">
        <v>0</v>
      </c>
      <c r="V172" s="34"/>
      <c r="W172" s="34">
        <v>0</v>
      </c>
      <c r="X172" s="34"/>
      <c r="Y172" s="34">
        <v>21136</v>
      </c>
      <c r="Z172" s="32"/>
      <c r="AA172" s="34">
        <v>0</v>
      </c>
      <c r="AB172" s="34"/>
      <c r="AC172" s="34">
        <v>0</v>
      </c>
      <c r="AD172" s="34"/>
      <c r="AE172" s="33">
        <f t="shared" si="2"/>
        <v>147713</v>
      </c>
    </row>
    <row r="173" spans="1:31" ht="12.75" customHeight="1">
      <c r="A173" s="1" t="s">
        <v>191</v>
      </c>
      <c r="C173" s="1" t="s">
        <v>192</v>
      </c>
      <c r="E173" s="34">
        <v>1663</v>
      </c>
      <c r="F173" s="34"/>
      <c r="G173" s="34">
        <v>4256</v>
      </c>
      <c r="H173" s="34"/>
      <c r="I173" s="34">
        <v>1916</v>
      </c>
      <c r="J173" s="34"/>
      <c r="K173" s="34">
        <v>0</v>
      </c>
      <c r="L173" s="34"/>
      <c r="M173" s="34">
        <v>0</v>
      </c>
      <c r="N173" s="34"/>
      <c r="O173" s="34">
        <v>9446</v>
      </c>
      <c r="P173" s="34"/>
      <c r="Q173" s="34">
        <v>1067</v>
      </c>
      <c r="R173" s="34"/>
      <c r="S173" s="34">
        <v>0</v>
      </c>
      <c r="T173" s="34"/>
      <c r="U173" s="34">
        <v>0</v>
      </c>
      <c r="V173" s="34"/>
      <c r="W173" s="34">
        <v>0</v>
      </c>
      <c r="X173" s="34"/>
      <c r="Y173" s="34">
        <v>0</v>
      </c>
      <c r="Z173" s="34"/>
      <c r="AA173" s="34">
        <v>0</v>
      </c>
      <c r="AB173" s="32"/>
      <c r="AC173" s="34">
        <v>0</v>
      </c>
      <c r="AD173" s="34"/>
      <c r="AE173" s="33">
        <f t="shared" si="2"/>
        <v>18348</v>
      </c>
    </row>
    <row r="174" spans="1:31" ht="12.75" customHeight="1">
      <c r="A174" s="1" t="s">
        <v>448</v>
      </c>
      <c r="C174" s="1" t="s">
        <v>447</v>
      </c>
      <c r="E174" s="34">
        <v>122433</v>
      </c>
      <c r="F174" s="34"/>
      <c r="G174" s="34">
        <v>12881</v>
      </c>
      <c r="H174" s="34"/>
      <c r="I174" s="34">
        <v>0</v>
      </c>
      <c r="J174" s="34"/>
      <c r="K174" s="34">
        <v>800</v>
      </c>
      <c r="L174" s="34"/>
      <c r="M174" s="34">
        <v>100</v>
      </c>
      <c r="N174" s="34"/>
      <c r="O174" s="34">
        <v>2350</v>
      </c>
      <c r="P174" s="34"/>
      <c r="Q174" s="34">
        <v>92479</v>
      </c>
      <c r="R174" s="34"/>
      <c r="S174" s="34">
        <v>0</v>
      </c>
      <c r="T174" s="34"/>
      <c r="U174" s="34">
        <v>0</v>
      </c>
      <c r="V174" s="34"/>
      <c r="W174" s="34">
        <v>0</v>
      </c>
      <c r="X174" s="34"/>
      <c r="Y174" s="34">
        <v>0</v>
      </c>
      <c r="Z174" s="32"/>
      <c r="AA174" s="34">
        <v>0</v>
      </c>
      <c r="AB174" s="34"/>
      <c r="AC174" s="34">
        <v>0</v>
      </c>
      <c r="AD174" s="34"/>
      <c r="AE174" s="33">
        <f t="shared" si="2"/>
        <v>231043</v>
      </c>
    </row>
    <row r="175" spans="1:31" ht="12.75" customHeight="1">
      <c r="A175" s="1" t="s">
        <v>674</v>
      </c>
      <c r="C175" s="1" t="s">
        <v>215</v>
      </c>
      <c r="E175" s="34">
        <v>283393</v>
      </c>
      <c r="F175" s="34"/>
      <c r="G175" s="34">
        <v>3392</v>
      </c>
      <c r="H175" s="34"/>
      <c r="I175" s="34">
        <v>13884</v>
      </c>
      <c r="J175" s="34"/>
      <c r="K175" s="34">
        <v>9971</v>
      </c>
      <c r="L175" s="34"/>
      <c r="M175" s="34">
        <v>52933</v>
      </c>
      <c r="N175" s="34"/>
      <c r="O175" s="34">
        <v>7398</v>
      </c>
      <c r="P175" s="34"/>
      <c r="Q175" s="34">
        <v>167260</v>
      </c>
      <c r="R175" s="34"/>
      <c r="S175" s="34">
        <v>0</v>
      </c>
      <c r="T175" s="34"/>
      <c r="U175" s="34">
        <v>0</v>
      </c>
      <c r="V175" s="34"/>
      <c r="W175" s="34">
        <v>0</v>
      </c>
      <c r="X175" s="34"/>
      <c r="Y175" s="34">
        <v>0</v>
      </c>
      <c r="Z175" s="32"/>
      <c r="AA175" s="34">
        <v>0</v>
      </c>
      <c r="AB175" s="34"/>
      <c r="AC175" s="34">
        <v>72</v>
      </c>
      <c r="AD175" s="34"/>
      <c r="AE175" s="33">
        <f t="shared" si="2"/>
        <v>538303</v>
      </c>
    </row>
    <row r="176" spans="1:31" ht="12.75" customHeight="1">
      <c r="A176" s="1" t="s">
        <v>565</v>
      </c>
      <c r="C176" s="1" t="s">
        <v>73</v>
      </c>
      <c r="E176" s="34">
        <v>359666</v>
      </c>
      <c r="F176" s="34"/>
      <c r="G176" s="34">
        <v>1426</v>
      </c>
      <c r="H176" s="34"/>
      <c r="I176" s="34">
        <v>15654</v>
      </c>
      <c r="J176" s="34"/>
      <c r="K176" s="34">
        <v>0</v>
      </c>
      <c r="L176" s="34"/>
      <c r="M176" s="34">
        <v>82252</v>
      </c>
      <c r="N176" s="34"/>
      <c r="O176" s="34">
        <v>442</v>
      </c>
      <c r="P176" s="34"/>
      <c r="Q176" s="34">
        <v>361654</v>
      </c>
      <c r="R176" s="34"/>
      <c r="S176" s="34">
        <v>0</v>
      </c>
      <c r="T176" s="34"/>
      <c r="U176" s="34">
        <v>0</v>
      </c>
      <c r="V176" s="34"/>
      <c r="W176" s="34">
        <v>0</v>
      </c>
      <c r="X176" s="34"/>
      <c r="Y176" s="34">
        <v>0</v>
      </c>
      <c r="Z176" s="32"/>
      <c r="AA176" s="34">
        <v>0</v>
      </c>
      <c r="AB176" s="34"/>
      <c r="AC176" s="34">
        <v>6000</v>
      </c>
      <c r="AD176" s="34"/>
      <c r="AE176" s="33">
        <f t="shared" si="2"/>
        <v>827094</v>
      </c>
    </row>
    <row r="177" spans="1:31" ht="12.75" customHeight="1">
      <c r="A177" s="1" t="s">
        <v>599</v>
      </c>
      <c r="C177" s="1" t="s">
        <v>69</v>
      </c>
      <c r="E177" s="34">
        <v>23197</v>
      </c>
      <c r="F177" s="34"/>
      <c r="G177" s="34">
        <v>1445</v>
      </c>
      <c r="H177" s="34"/>
      <c r="I177" s="34">
        <v>5628</v>
      </c>
      <c r="J177" s="34"/>
      <c r="K177" s="34">
        <v>0</v>
      </c>
      <c r="L177" s="34"/>
      <c r="M177" s="34">
        <v>0</v>
      </c>
      <c r="N177" s="34"/>
      <c r="O177" s="34">
        <v>0</v>
      </c>
      <c r="P177" s="34"/>
      <c r="Q177" s="34">
        <v>29769</v>
      </c>
      <c r="R177" s="34"/>
      <c r="S177" s="34">
        <v>0</v>
      </c>
      <c r="T177" s="34"/>
      <c r="U177" s="34">
        <v>0</v>
      </c>
      <c r="V177" s="34"/>
      <c r="W177" s="34">
        <v>0</v>
      </c>
      <c r="X177" s="34"/>
      <c r="Y177" s="34">
        <v>0</v>
      </c>
      <c r="Z177" s="32"/>
      <c r="AA177" s="34">
        <v>0</v>
      </c>
      <c r="AB177" s="34"/>
      <c r="AC177" s="34">
        <v>0</v>
      </c>
      <c r="AD177" s="34"/>
      <c r="AE177" s="33">
        <f t="shared" si="2"/>
        <v>60039</v>
      </c>
    </row>
    <row r="178" spans="1:31" ht="12.75" customHeight="1">
      <c r="A178" s="1" t="s">
        <v>193</v>
      </c>
      <c r="C178" s="1" t="s">
        <v>194</v>
      </c>
      <c r="E178" s="34">
        <v>100990</v>
      </c>
      <c r="F178" s="34"/>
      <c r="G178" s="34">
        <v>40000</v>
      </c>
      <c r="H178" s="34"/>
      <c r="I178" s="34">
        <v>1995</v>
      </c>
      <c r="J178" s="34"/>
      <c r="K178" s="34">
        <v>0</v>
      </c>
      <c r="L178" s="34"/>
      <c r="M178" s="34">
        <v>0</v>
      </c>
      <c r="N178" s="34"/>
      <c r="O178" s="34">
        <v>0</v>
      </c>
      <c r="P178" s="34"/>
      <c r="Q178" s="34">
        <f>7621+33423+44997+25490+43978</f>
        <v>155509</v>
      </c>
      <c r="R178" s="34"/>
      <c r="S178" s="34">
        <v>139300</v>
      </c>
      <c r="T178" s="34"/>
      <c r="U178" s="34">
        <v>0</v>
      </c>
      <c r="V178" s="34"/>
      <c r="W178" s="34">
        <v>0</v>
      </c>
      <c r="X178" s="34"/>
      <c r="Y178" s="34">
        <v>0</v>
      </c>
      <c r="Z178" s="34"/>
      <c r="AA178" s="34">
        <v>0</v>
      </c>
      <c r="AB178" s="32"/>
      <c r="AC178" s="34">
        <v>0</v>
      </c>
      <c r="AD178" s="34"/>
      <c r="AE178" s="33">
        <f t="shared" si="2"/>
        <v>437794</v>
      </c>
    </row>
    <row r="179" spans="1:31" ht="12.75" customHeight="1">
      <c r="A179" s="1" t="s">
        <v>195</v>
      </c>
      <c r="C179" s="1" t="s">
        <v>73</v>
      </c>
      <c r="E179" s="34">
        <v>4842569</v>
      </c>
      <c r="F179" s="34"/>
      <c r="G179" s="34">
        <v>15737</v>
      </c>
      <c r="H179" s="34"/>
      <c r="I179" s="34">
        <v>1454070</v>
      </c>
      <c r="J179" s="34"/>
      <c r="K179" s="34">
        <v>586030</v>
      </c>
      <c r="L179" s="34"/>
      <c r="M179" s="34">
        <v>166941</v>
      </c>
      <c r="N179" s="34"/>
      <c r="O179" s="34">
        <v>0</v>
      </c>
      <c r="P179" s="34"/>
      <c r="Q179" s="34">
        <v>1900365</v>
      </c>
      <c r="R179" s="34"/>
      <c r="S179" s="34">
        <v>0</v>
      </c>
      <c r="T179" s="34"/>
      <c r="U179" s="34">
        <v>0</v>
      </c>
      <c r="V179" s="34"/>
      <c r="W179" s="34">
        <v>0</v>
      </c>
      <c r="X179" s="34"/>
      <c r="Y179" s="34">
        <v>1075834</v>
      </c>
      <c r="Z179" s="34"/>
      <c r="AA179" s="34">
        <v>0</v>
      </c>
      <c r="AB179" s="32"/>
      <c r="AC179" s="34">
        <v>0</v>
      </c>
      <c r="AD179" s="34"/>
      <c r="AE179" s="33">
        <f t="shared" si="2"/>
        <v>10041546</v>
      </c>
    </row>
    <row r="180" spans="1:31" ht="12.75" customHeight="1">
      <c r="A180" s="1" t="s">
        <v>566</v>
      </c>
      <c r="C180" s="1" t="s">
        <v>73</v>
      </c>
      <c r="E180" s="34">
        <v>1051176</v>
      </c>
      <c r="F180" s="34"/>
      <c r="G180" s="34">
        <v>3614</v>
      </c>
      <c r="H180" s="34"/>
      <c r="I180" s="34">
        <v>65899</v>
      </c>
      <c r="J180" s="34"/>
      <c r="K180" s="34">
        <v>12471</v>
      </c>
      <c r="L180" s="34"/>
      <c r="M180" s="34">
        <v>138439</v>
      </c>
      <c r="N180" s="34"/>
      <c r="O180" s="34">
        <v>121772</v>
      </c>
      <c r="P180" s="34"/>
      <c r="Q180" s="34">
        <v>812531</v>
      </c>
      <c r="R180" s="34"/>
      <c r="S180" s="34">
        <v>398364</v>
      </c>
      <c r="T180" s="34"/>
      <c r="U180" s="34">
        <v>0</v>
      </c>
      <c r="V180" s="34"/>
      <c r="W180" s="34">
        <v>0</v>
      </c>
      <c r="X180" s="34"/>
      <c r="Y180" s="34">
        <v>630173</v>
      </c>
      <c r="Z180" s="32"/>
      <c r="AA180" s="34">
        <v>95314</v>
      </c>
      <c r="AB180" s="34"/>
      <c r="AC180" s="34">
        <v>0</v>
      </c>
      <c r="AD180" s="34"/>
      <c r="AE180" s="33">
        <f t="shared" si="2"/>
        <v>3329753</v>
      </c>
    </row>
    <row r="181" spans="1:31" ht="12.75" customHeight="1">
      <c r="A181" s="1" t="s">
        <v>196</v>
      </c>
      <c r="C181" s="1" t="s">
        <v>197</v>
      </c>
      <c r="E181" s="34">
        <v>882773</v>
      </c>
      <c r="F181" s="34"/>
      <c r="G181" s="34">
        <v>16273</v>
      </c>
      <c r="H181" s="34"/>
      <c r="I181" s="34">
        <v>1493</v>
      </c>
      <c r="J181" s="34"/>
      <c r="K181" s="34">
        <v>19927</v>
      </c>
      <c r="L181" s="34"/>
      <c r="M181" s="34">
        <v>0</v>
      </c>
      <c r="N181" s="34"/>
      <c r="O181" s="34">
        <v>216446</v>
      </c>
      <c r="P181" s="34"/>
      <c r="Q181" s="34">
        <f>422988+486+788</f>
        <v>424262</v>
      </c>
      <c r="R181" s="34"/>
      <c r="S181" s="34">
        <v>28210</v>
      </c>
      <c r="T181" s="34"/>
      <c r="U181" s="34">
        <v>0</v>
      </c>
      <c r="V181" s="34"/>
      <c r="W181" s="34">
        <v>0</v>
      </c>
      <c r="X181" s="34"/>
      <c r="Y181" s="34">
        <v>30000</v>
      </c>
      <c r="Z181" s="34"/>
      <c r="AA181" s="34">
        <v>70000</v>
      </c>
      <c r="AB181" s="32"/>
      <c r="AC181" s="34">
        <v>0</v>
      </c>
      <c r="AD181" s="34"/>
      <c r="AE181" s="33">
        <f t="shared" si="2"/>
        <v>1689384</v>
      </c>
    </row>
    <row r="182" spans="1:31" ht="12.75" customHeight="1">
      <c r="A182" s="1" t="s">
        <v>198</v>
      </c>
      <c r="C182" s="1" t="s">
        <v>199</v>
      </c>
      <c r="E182" s="34">
        <v>3381</v>
      </c>
      <c r="F182" s="34"/>
      <c r="G182" s="34">
        <v>6</v>
      </c>
      <c r="H182" s="34"/>
      <c r="I182" s="34">
        <v>0</v>
      </c>
      <c r="J182" s="34"/>
      <c r="K182" s="34">
        <v>0</v>
      </c>
      <c r="L182" s="34"/>
      <c r="M182" s="34">
        <v>185</v>
      </c>
      <c r="N182" s="34"/>
      <c r="O182" s="34">
        <v>0</v>
      </c>
      <c r="P182" s="34"/>
      <c r="Q182" s="34">
        <v>10377</v>
      </c>
      <c r="R182" s="34"/>
      <c r="S182" s="34">
        <v>0</v>
      </c>
      <c r="T182" s="34"/>
      <c r="U182" s="34">
        <v>0</v>
      </c>
      <c r="V182" s="34"/>
      <c r="W182" s="34">
        <v>0</v>
      </c>
      <c r="X182" s="34"/>
      <c r="Y182" s="34">
        <v>0</v>
      </c>
      <c r="Z182" s="34"/>
      <c r="AA182" s="34">
        <v>0</v>
      </c>
      <c r="AB182" s="32"/>
      <c r="AC182" s="34">
        <v>0</v>
      </c>
      <c r="AD182" s="34"/>
      <c r="AE182" s="33">
        <f t="shared" si="2"/>
        <v>13949</v>
      </c>
    </row>
    <row r="183" spans="1:31" ht="12.75" customHeight="1">
      <c r="A183" s="1" t="s">
        <v>662</v>
      </c>
      <c r="C183" s="1" t="s">
        <v>217</v>
      </c>
      <c r="E183" s="34">
        <v>44100</v>
      </c>
      <c r="F183" s="34"/>
      <c r="G183" s="34">
        <v>0</v>
      </c>
      <c r="H183" s="34"/>
      <c r="I183" s="34">
        <v>0</v>
      </c>
      <c r="J183" s="34"/>
      <c r="K183" s="34">
        <v>0</v>
      </c>
      <c r="L183" s="34"/>
      <c r="M183" s="34">
        <v>11295</v>
      </c>
      <c r="N183" s="34"/>
      <c r="O183" s="34">
        <v>0</v>
      </c>
      <c r="P183" s="34"/>
      <c r="Q183" s="34">
        <v>133775</v>
      </c>
      <c r="R183" s="34"/>
      <c r="S183" s="34">
        <v>11820</v>
      </c>
      <c r="T183" s="34"/>
      <c r="U183" s="34">
        <v>0</v>
      </c>
      <c r="V183" s="34"/>
      <c r="W183" s="34">
        <v>0</v>
      </c>
      <c r="X183" s="34"/>
      <c r="Y183" s="34">
        <v>0</v>
      </c>
      <c r="Z183" s="32"/>
      <c r="AA183" s="34">
        <v>16650</v>
      </c>
      <c r="AB183" s="34"/>
      <c r="AC183" s="34">
        <v>0</v>
      </c>
      <c r="AD183" s="34"/>
      <c r="AE183" s="33">
        <f t="shared" si="2"/>
        <v>217640</v>
      </c>
    </row>
    <row r="184" spans="1:31" ht="12.75" customHeight="1">
      <c r="A184" s="1" t="s">
        <v>200</v>
      </c>
      <c r="C184" s="1" t="s">
        <v>87</v>
      </c>
      <c r="E184" s="34">
        <v>205372</v>
      </c>
      <c r="F184" s="34"/>
      <c r="G184" s="34">
        <v>0</v>
      </c>
      <c r="H184" s="34"/>
      <c r="I184" s="34">
        <v>0</v>
      </c>
      <c r="J184" s="34"/>
      <c r="K184" s="34">
        <v>4637</v>
      </c>
      <c r="L184" s="34"/>
      <c r="M184" s="34">
        <v>0</v>
      </c>
      <c r="N184" s="34"/>
      <c r="O184" s="34">
        <v>62917</v>
      </c>
      <c r="P184" s="34"/>
      <c r="Q184" s="34">
        <v>231533</v>
      </c>
      <c r="R184" s="34"/>
      <c r="S184" s="34">
        <v>20373</v>
      </c>
      <c r="T184" s="34"/>
      <c r="U184" s="34">
        <v>0</v>
      </c>
      <c r="V184" s="34"/>
      <c r="W184" s="34">
        <v>0</v>
      </c>
      <c r="X184" s="34"/>
      <c r="Y184" s="34">
        <v>0</v>
      </c>
      <c r="Z184" s="34"/>
      <c r="AA184" s="34">
        <v>0</v>
      </c>
      <c r="AB184" s="32"/>
      <c r="AC184" s="34">
        <v>16</v>
      </c>
      <c r="AD184" s="34"/>
      <c r="AE184" s="33">
        <f t="shared" si="2"/>
        <v>524848</v>
      </c>
    </row>
    <row r="185" spans="1:31" ht="12.75" customHeight="1">
      <c r="A185" s="1" t="s">
        <v>473</v>
      </c>
      <c r="C185" s="1" t="s">
        <v>246</v>
      </c>
      <c r="E185" s="34">
        <v>80705</v>
      </c>
      <c r="F185" s="34"/>
      <c r="G185" s="34">
        <v>0</v>
      </c>
      <c r="H185" s="34"/>
      <c r="I185" s="34">
        <v>8504</v>
      </c>
      <c r="J185" s="34"/>
      <c r="K185" s="34">
        <v>1480</v>
      </c>
      <c r="L185" s="34"/>
      <c r="M185" s="34">
        <v>0</v>
      </c>
      <c r="N185" s="34"/>
      <c r="O185" s="34">
        <v>1146</v>
      </c>
      <c r="P185" s="34"/>
      <c r="Q185" s="34">
        <v>66266</v>
      </c>
      <c r="R185" s="34"/>
      <c r="S185" s="34">
        <v>0</v>
      </c>
      <c r="T185" s="34"/>
      <c r="U185" s="34">
        <v>5600</v>
      </c>
      <c r="V185" s="34"/>
      <c r="W185" s="34">
        <v>296</v>
      </c>
      <c r="X185" s="34"/>
      <c r="Y185" s="34">
        <v>0</v>
      </c>
      <c r="Z185" s="32"/>
      <c r="AA185" s="34">
        <v>0</v>
      </c>
      <c r="AB185" s="34"/>
      <c r="AC185" s="34">
        <v>0</v>
      </c>
      <c r="AD185" s="34"/>
      <c r="AE185" s="33">
        <f t="shared" si="2"/>
        <v>163997</v>
      </c>
    </row>
    <row r="186" spans="1:31" ht="12.75" customHeight="1">
      <c r="A186" s="1" t="s">
        <v>201</v>
      </c>
      <c r="C186" s="1" t="s">
        <v>102</v>
      </c>
      <c r="E186" s="34">
        <v>80587</v>
      </c>
      <c r="F186" s="34"/>
      <c r="G186" s="34">
        <v>1311</v>
      </c>
      <c r="H186" s="34"/>
      <c r="I186" s="34">
        <v>342</v>
      </c>
      <c r="J186" s="34"/>
      <c r="K186" s="34">
        <v>0</v>
      </c>
      <c r="L186" s="34"/>
      <c r="M186" s="34">
        <v>0</v>
      </c>
      <c r="N186" s="34"/>
      <c r="O186" s="34">
        <v>21655</v>
      </c>
      <c r="P186" s="34"/>
      <c r="Q186" s="34">
        <v>57977</v>
      </c>
      <c r="R186" s="34"/>
      <c r="S186" s="34">
        <v>11188</v>
      </c>
      <c r="T186" s="34"/>
      <c r="U186" s="34">
        <v>0</v>
      </c>
      <c r="V186" s="34"/>
      <c r="W186" s="34">
        <v>0</v>
      </c>
      <c r="X186" s="34"/>
      <c r="Y186" s="34">
        <v>0</v>
      </c>
      <c r="Z186" s="34"/>
      <c r="AA186" s="34">
        <v>0</v>
      </c>
      <c r="AB186" s="32"/>
      <c r="AC186" s="34">
        <v>0</v>
      </c>
      <c r="AD186" s="34"/>
      <c r="AE186" s="33">
        <f t="shared" si="2"/>
        <v>173060</v>
      </c>
    </row>
    <row r="187" spans="1:31" ht="12.75" customHeight="1">
      <c r="A187" s="1" t="s">
        <v>654</v>
      </c>
      <c r="C187" s="1" t="s">
        <v>155</v>
      </c>
      <c r="E187" s="34">
        <v>25563</v>
      </c>
      <c r="F187" s="34"/>
      <c r="G187" s="34">
        <v>0</v>
      </c>
      <c r="H187" s="34"/>
      <c r="I187" s="34">
        <v>735</v>
      </c>
      <c r="J187" s="34"/>
      <c r="K187" s="34">
        <v>0</v>
      </c>
      <c r="L187" s="34"/>
      <c r="M187" s="34">
        <v>0</v>
      </c>
      <c r="N187" s="34"/>
      <c r="O187" s="34">
        <v>0</v>
      </c>
      <c r="P187" s="34"/>
      <c r="Q187" s="34">
        <v>27051</v>
      </c>
      <c r="R187" s="34"/>
      <c r="S187" s="34">
        <v>0</v>
      </c>
      <c r="T187" s="34"/>
      <c r="U187" s="34">
        <v>0</v>
      </c>
      <c r="V187" s="34"/>
      <c r="W187" s="34">
        <v>0</v>
      </c>
      <c r="X187" s="34"/>
      <c r="Y187" s="34">
        <v>0</v>
      </c>
      <c r="Z187" s="32"/>
      <c r="AA187" s="34">
        <v>0</v>
      </c>
      <c r="AB187" s="34"/>
      <c r="AC187" s="34">
        <v>1137</v>
      </c>
      <c r="AD187" s="34"/>
      <c r="AE187" s="33">
        <f t="shared" si="2"/>
        <v>54486</v>
      </c>
    </row>
    <row r="188" spans="1:31" ht="12.75" customHeight="1">
      <c r="A188" s="1" t="s">
        <v>584</v>
      </c>
      <c r="C188" s="1" t="s">
        <v>239</v>
      </c>
      <c r="E188" s="34">
        <v>3094</v>
      </c>
      <c r="F188" s="34"/>
      <c r="G188" s="34">
        <v>0</v>
      </c>
      <c r="H188" s="34"/>
      <c r="I188" s="34">
        <v>2299</v>
      </c>
      <c r="J188" s="34"/>
      <c r="K188" s="34">
        <v>0</v>
      </c>
      <c r="L188" s="34"/>
      <c r="M188" s="34">
        <v>782</v>
      </c>
      <c r="N188" s="34"/>
      <c r="O188" s="34">
        <v>0</v>
      </c>
      <c r="P188" s="34"/>
      <c r="Q188" s="34">
        <v>23486</v>
      </c>
      <c r="R188" s="34"/>
      <c r="S188" s="34">
        <v>0</v>
      </c>
      <c r="T188" s="34"/>
      <c r="U188" s="34">
        <v>0</v>
      </c>
      <c r="V188" s="34"/>
      <c r="W188" s="34">
        <v>0</v>
      </c>
      <c r="X188" s="34"/>
      <c r="Y188" s="34">
        <v>0</v>
      </c>
      <c r="Z188" s="32"/>
      <c r="AA188" s="34">
        <v>0</v>
      </c>
      <c r="AB188" s="34"/>
      <c r="AC188" s="34">
        <v>0</v>
      </c>
      <c r="AD188" s="34"/>
      <c r="AE188" s="33">
        <f t="shared" si="2"/>
        <v>29661</v>
      </c>
    </row>
    <row r="189" spans="1:31" ht="12.75" customHeight="1">
      <c r="A189" s="1" t="s">
        <v>467</v>
      </c>
      <c r="C189" s="1" t="s">
        <v>100</v>
      </c>
      <c r="E189" s="34">
        <v>12405</v>
      </c>
      <c r="F189" s="34"/>
      <c r="G189" s="34">
        <v>2635</v>
      </c>
      <c r="H189" s="34"/>
      <c r="I189" s="34">
        <v>3630</v>
      </c>
      <c r="J189" s="34"/>
      <c r="K189" s="34">
        <v>0</v>
      </c>
      <c r="L189" s="34"/>
      <c r="M189" s="34">
        <v>52092</v>
      </c>
      <c r="N189" s="34"/>
      <c r="O189" s="34">
        <v>0</v>
      </c>
      <c r="P189" s="34"/>
      <c r="Q189" s="34">
        <v>21311</v>
      </c>
      <c r="R189" s="34"/>
      <c r="S189" s="34">
        <v>0</v>
      </c>
      <c r="T189" s="34"/>
      <c r="U189" s="34">
        <v>0</v>
      </c>
      <c r="V189" s="34"/>
      <c r="W189" s="34">
        <v>0</v>
      </c>
      <c r="X189" s="34"/>
      <c r="Y189" s="34">
        <v>0</v>
      </c>
      <c r="Z189" s="32"/>
      <c r="AA189" s="34">
        <v>0</v>
      </c>
      <c r="AB189" s="34"/>
      <c r="AC189" s="34">
        <v>0</v>
      </c>
      <c r="AD189" s="34"/>
      <c r="AE189" s="33">
        <f t="shared" si="2"/>
        <v>92073</v>
      </c>
    </row>
    <row r="190" spans="1:31" ht="12.75" customHeight="1">
      <c r="A190" s="1" t="s">
        <v>202</v>
      </c>
      <c r="C190" s="1" t="s">
        <v>65</v>
      </c>
      <c r="E190" s="34">
        <v>230629</v>
      </c>
      <c r="F190" s="34"/>
      <c r="G190" s="34">
        <v>16534</v>
      </c>
      <c r="H190" s="34"/>
      <c r="I190" s="34">
        <v>350</v>
      </c>
      <c r="J190" s="34"/>
      <c r="K190" s="34">
        <v>2033</v>
      </c>
      <c r="L190" s="34"/>
      <c r="M190" s="34">
        <v>0</v>
      </c>
      <c r="N190" s="34"/>
      <c r="O190" s="34">
        <v>0</v>
      </c>
      <c r="P190" s="34"/>
      <c r="Q190" s="34">
        <v>93544</v>
      </c>
      <c r="R190" s="34"/>
      <c r="S190" s="34">
        <v>0</v>
      </c>
      <c r="T190" s="34"/>
      <c r="U190" s="34">
        <v>0</v>
      </c>
      <c r="V190" s="34"/>
      <c r="W190" s="34">
        <v>0</v>
      </c>
      <c r="X190" s="34"/>
      <c r="Y190" s="34">
        <v>76593</v>
      </c>
      <c r="Z190" s="34"/>
      <c r="AA190" s="34">
        <v>0</v>
      </c>
      <c r="AB190" s="32"/>
      <c r="AC190" s="34">
        <v>0</v>
      </c>
      <c r="AD190" s="34"/>
      <c r="AE190" s="33">
        <f t="shared" si="2"/>
        <v>419683</v>
      </c>
    </row>
    <row r="191" spans="1:31" ht="12.75" customHeight="1">
      <c r="A191" s="1" t="s">
        <v>703</v>
      </c>
      <c r="C191" s="1" t="s">
        <v>110</v>
      </c>
      <c r="E191" s="34">
        <v>39740</v>
      </c>
      <c r="F191" s="34"/>
      <c r="G191" s="34">
        <v>0</v>
      </c>
      <c r="H191" s="34"/>
      <c r="I191" s="34">
        <v>290</v>
      </c>
      <c r="J191" s="34"/>
      <c r="K191" s="34">
        <v>0</v>
      </c>
      <c r="L191" s="34"/>
      <c r="M191" s="34">
        <v>2591</v>
      </c>
      <c r="N191" s="34"/>
      <c r="O191" s="34">
        <v>0</v>
      </c>
      <c r="P191" s="34"/>
      <c r="Q191" s="34">
        <v>47624</v>
      </c>
      <c r="R191" s="34"/>
      <c r="S191" s="34">
        <v>0</v>
      </c>
      <c r="T191" s="34"/>
      <c r="U191" s="34">
        <v>0</v>
      </c>
      <c r="V191" s="34"/>
      <c r="W191" s="34">
        <v>0</v>
      </c>
      <c r="X191" s="34"/>
      <c r="Y191" s="34">
        <v>0</v>
      </c>
      <c r="Z191" s="32"/>
      <c r="AA191" s="34">
        <v>65000</v>
      </c>
      <c r="AB191" s="34"/>
      <c r="AC191" s="34">
        <v>0</v>
      </c>
      <c r="AD191" s="34"/>
      <c r="AE191" s="33">
        <f t="shared" si="2"/>
        <v>155245</v>
      </c>
    </row>
    <row r="192" spans="1:31" ht="12.75" customHeight="1">
      <c r="A192" s="1" t="s">
        <v>727</v>
      </c>
      <c r="C192" s="1" t="s">
        <v>131</v>
      </c>
      <c r="E192" s="34">
        <v>120074</v>
      </c>
      <c r="F192" s="34"/>
      <c r="G192" s="34">
        <v>5600</v>
      </c>
      <c r="H192" s="34"/>
      <c r="I192" s="34">
        <v>19476</v>
      </c>
      <c r="J192" s="34"/>
      <c r="K192" s="34">
        <v>6500</v>
      </c>
      <c r="L192" s="34"/>
      <c r="M192" s="34">
        <v>66097</v>
      </c>
      <c r="N192" s="34"/>
      <c r="O192" s="34">
        <v>38337</v>
      </c>
      <c r="P192" s="34"/>
      <c r="Q192" s="34">
        <v>240496</v>
      </c>
      <c r="R192" s="34"/>
      <c r="S192" s="34">
        <v>497987</v>
      </c>
      <c r="T192" s="34"/>
      <c r="U192" s="34">
        <v>3358</v>
      </c>
      <c r="V192" s="34"/>
      <c r="W192" s="34">
        <v>4372</v>
      </c>
      <c r="X192" s="34"/>
      <c r="Y192" s="34">
        <v>0</v>
      </c>
      <c r="Z192" s="32"/>
      <c r="AA192" s="34">
        <v>67000</v>
      </c>
      <c r="AB192" s="34"/>
      <c r="AC192" s="34">
        <v>0</v>
      </c>
      <c r="AD192" s="34"/>
      <c r="AE192" s="33">
        <f t="shared" si="2"/>
        <v>1069297</v>
      </c>
    </row>
    <row r="193" spans="1:31" ht="12.75" customHeight="1">
      <c r="A193" s="1" t="s">
        <v>203</v>
      </c>
      <c r="C193" s="1" t="s">
        <v>167</v>
      </c>
      <c r="E193" s="34">
        <v>115648</v>
      </c>
      <c r="F193" s="34"/>
      <c r="G193" s="34">
        <v>3966</v>
      </c>
      <c r="H193" s="34"/>
      <c r="I193" s="34">
        <v>0</v>
      </c>
      <c r="J193" s="34"/>
      <c r="K193" s="34">
        <v>127</v>
      </c>
      <c r="L193" s="34"/>
      <c r="M193" s="34">
        <v>100</v>
      </c>
      <c r="N193" s="34"/>
      <c r="O193" s="34">
        <v>0</v>
      </c>
      <c r="P193" s="34"/>
      <c r="Q193" s="34">
        <v>166565</v>
      </c>
      <c r="R193" s="34"/>
      <c r="S193" s="34">
        <v>74515</v>
      </c>
      <c r="T193" s="34"/>
      <c r="U193" s="34">
        <v>7063</v>
      </c>
      <c r="V193" s="34"/>
      <c r="W193" s="34">
        <v>2</v>
      </c>
      <c r="X193" s="34"/>
      <c r="Y193" s="34">
        <v>324</v>
      </c>
      <c r="Z193" s="34"/>
      <c r="AA193" s="34">
        <v>0</v>
      </c>
      <c r="AB193" s="32"/>
      <c r="AC193" s="34">
        <v>0</v>
      </c>
      <c r="AD193" s="34"/>
      <c r="AE193" s="33">
        <f t="shared" si="2"/>
        <v>368310</v>
      </c>
    </row>
    <row r="194" spans="1:31" ht="12.75" customHeight="1">
      <c r="A194" s="1" t="s">
        <v>204</v>
      </c>
      <c r="C194" s="1" t="s">
        <v>126</v>
      </c>
      <c r="E194" s="34">
        <v>158606</v>
      </c>
      <c r="F194" s="34"/>
      <c r="G194" s="34">
        <v>13613</v>
      </c>
      <c r="H194" s="34"/>
      <c r="I194" s="34">
        <v>1273</v>
      </c>
      <c r="J194" s="34"/>
      <c r="K194" s="34">
        <v>2664</v>
      </c>
      <c r="L194" s="34"/>
      <c r="M194" s="34">
        <v>0</v>
      </c>
      <c r="N194" s="34"/>
      <c r="O194" s="34">
        <v>0</v>
      </c>
      <c r="P194" s="34"/>
      <c r="Q194" s="34">
        <v>106418</v>
      </c>
      <c r="R194" s="34"/>
      <c r="S194" s="34">
        <v>31335</v>
      </c>
      <c r="T194" s="34"/>
      <c r="U194" s="34">
        <v>0</v>
      </c>
      <c r="V194" s="34"/>
      <c r="W194" s="34">
        <v>0</v>
      </c>
      <c r="X194" s="34"/>
      <c r="Y194" s="34">
        <v>1738</v>
      </c>
      <c r="Z194" s="34"/>
      <c r="AA194" s="34">
        <v>0</v>
      </c>
      <c r="AB194" s="32"/>
      <c r="AC194" s="34">
        <v>0</v>
      </c>
      <c r="AD194" s="34"/>
      <c r="AE194" s="33">
        <f t="shared" si="2"/>
        <v>315647</v>
      </c>
    </row>
    <row r="195" spans="1:31" ht="12.75" customHeight="1">
      <c r="A195" s="1" t="s">
        <v>715</v>
      </c>
      <c r="C195" s="1" t="s">
        <v>712</v>
      </c>
      <c r="E195" s="34">
        <v>16301</v>
      </c>
      <c r="F195" s="34"/>
      <c r="G195" s="34">
        <v>0</v>
      </c>
      <c r="H195" s="34"/>
      <c r="I195" s="34">
        <v>3883</v>
      </c>
      <c r="J195" s="34"/>
      <c r="K195" s="34">
        <v>0</v>
      </c>
      <c r="L195" s="34"/>
      <c r="M195" s="34">
        <v>4376</v>
      </c>
      <c r="N195" s="34"/>
      <c r="O195" s="34">
        <v>0</v>
      </c>
      <c r="P195" s="34"/>
      <c r="Q195" s="34">
        <v>59016</v>
      </c>
      <c r="R195" s="34"/>
      <c r="S195" s="34">
        <v>129527</v>
      </c>
      <c r="T195" s="34"/>
      <c r="U195" s="34">
        <v>0</v>
      </c>
      <c r="V195" s="34"/>
      <c r="W195" s="34">
        <v>0</v>
      </c>
      <c r="X195" s="34"/>
      <c r="Y195" s="34">
        <v>23457</v>
      </c>
      <c r="Z195" s="32"/>
      <c r="AA195" s="34">
        <v>0</v>
      </c>
      <c r="AB195" s="34"/>
      <c r="AC195" s="34">
        <v>0</v>
      </c>
      <c r="AD195" s="34"/>
      <c r="AE195" s="33">
        <f t="shared" si="2"/>
        <v>236560</v>
      </c>
    </row>
    <row r="196" spans="5:31" ht="12.75" customHeight="1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2"/>
      <c r="AA196" s="34"/>
      <c r="AB196" s="34"/>
      <c r="AD196" s="34"/>
      <c r="AE196" s="34" t="s">
        <v>785</v>
      </c>
    </row>
    <row r="197" spans="1:31" s="36" customFormat="1" ht="12.75" customHeight="1">
      <c r="A197" s="36" t="s">
        <v>669</v>
      </c>
      <c r="C197" s="36" t="s">
        <v>67</v>
      </c>
      <c r="E197" s="39">
        <v>93661</v>
      </c>
      <c r="F197" s="39"/>
      <c r="G197" s="39">
        <v>0</v>
      </c>
      <c r="H197" s="39"/>
      <c r="I197" s="39">
        <v>29091</v>
      </c>
      <c r="J197" s="39"/>
      <c r="K197" s="39">
        <v>0</v>
      </c>
      <c r="L197" s="39"/>
      <c r="M197" s="39">
        <v>0</v>
      </c>
      <c r="N197" s="39"/>
      <c r="O197" s="39">
        <v>0</v>
      </c>
      <c r="P197" s="39"/>
      <c r="Q197" s="39">
        <v>113872</v>
      </c>
      <c r="R197" s="39"/>
      <c r="S197" s="39">
        <v>0</v>
      </c>
      <c r="T197" s="39"/>
      <c r="U197" s="39">
        <v>0</v>
      </c>
      <c r="V197" s="39"/>
      <c r="W197" s="39">
        <v>0</v>
      </c>
      <c r="X197" s="39"/>
      <c r="Y197" s="39">
        <v>9185</v>
      </c>
      <c r="Z197" s="38"/>
      <c r="AA197" s="39">
        <v>276</v>
      </c>
      <c r="AB197" s="39"/>
      <c r="AC197" s="39">
        <v>7450</v>
      </c>
      <c r="AD197" s="39"/>
      <c r="AE197" s="40">
        <f t="shared" si="2"/>
        <v>253535</v>
      </c>
    </row>
    <row r="198" spans="1:31" s="16" customFormat="1" ht="12.75" customHeight="1">
      <c r="A198" s="16" t="s">
        <v>205</v>
      </c>
      <c r="C198" s="16" t="s">
        <v>84</v>
      </c>
      <c r="E198" s="34">
        <v>28810</v>
      </c>
      <c r="F198" s="34"/>
      <c r="G198" s="34">
        <v>1449</v>
      </c>
      <c r="H198" s="34"/>
      <c r="I198" s="34">
        <v>1575</v>
      </c>
      <c r="J198" s="34"/>
      <c r="K198" s="34">
        <v>0</v>
      </c>
      <c r="L198" s="34"/>
      <c r="M198" s="34">
        <v>0</v>
      </c>
      <c r="N198" s="34"/>
      <c r="O198" s="34">
        <v>0</v>
      </c>
      <c r="P198" s="34"/>
      <c r="Q198" s="34">
        <v>34074</v>
      </c>
      <c r="R198" s="34"/>
      <c r="S198" s="34">
        <v>0</v>
      </c>
      <c r="T198" s="34"/>
      <c r="U198" s="34">
        <v>0</v>
      </c>
      <c r="V198" s="34"/>
      <c r="W198" s="34">
        <v>0</v>
      </c>
      <c r="X198" s="34"/>
      <c r="Y198" s="34">
        <v>0</v>
      </c>
      <c r="Z198" s="34"/>
      <c r="AA198" s="34">
        <v>0</v>
      </c>
      <c r="AB198" s="32"/>
      <c r="AC198" s="34">
        <v>0</v>
      </c>
      <c r="AD198" s="34"/>
      <c r="AE198" s="33">
        <f t="shared" si="2"/>
        <v>65908</v>
      </c>
    </row>
    <row r="199" spans="1:31" ht="12.75" customHeight="1">
      <c r="A199" s="1" t="s">
        <v>206</v>
      </c>
      <c r="C199" s="1" t="s">
        <v>182</v>
      </c>
      <c r="E199" s="34">
        <v>252322</v>
      </c>
      <c r="F199" s="34"/>
      <c r="G199" s="34">
        <v>1763</v>
      </c>
      <c r="H199" s="34"/>
      <c r="I199" s="34">
        <v>0</v>
      </c>
      <c r="J199" s="34"/>
      <c r="K199" s="34">
        <v>2313</v>
      </c>
      <c r="L199" s="34"/>
      <c r="M199" s="34">
        <v>6683</v>
      </c>
      <c r="N199" s="34"/>
      <c r="O199" s="34">
        <v>178626</v>
      </c>
      <c r="P199" s="34"/>
      <c r="Q199" s="34">
        <v>177015</v>
      </c>
      <c r="R199" s="34"/>
      <c r="S199" s="34">
        <v>13513</v>
      </c>
      <c r="T199" s="34"/>
      <c r="U199" s="34">
        <v>0</v>
      </c>
      <c r="V199" s="34"/>
      <c r="W199" s="34">
        <v>0</v>
      </c>
      <c r="X199" s="34"/>
      <c r="Y199" s="34">
        <v>1500</v>
      </c>
      <c r="Z199" s="34"/>
      <c r="AA199" s="34">
        <v>0</v>
      </c>
      <c r="AB199" s="32"/>
      <c r="AC199" s="34">
        <v>0</v>
      </c>
      <c r="AD199" s="34"/>
      <c r="AE199" s="33">
        <f t="shared" si="2"/>
        <v>633735</v>
      </c>
    </row>
    <row r="200" spans="1:31" ht="12.75" customHeight="1">
      <c r="A200" s="1" t="s">
        <v>207</v>
      </c>
      <c r="C200" s="1" t="s">
        <v>133</v>
      </c>
      <c r="E200" s="34">
        <v>0</v>
      </c>
      <c r="F200" s="34"/>
      <c r="G200" s="34">
        <v>0</v>
      </c>
      <c r="H200" s="34"/>
      <c r="I200" s="34">
        <v>0</v>
      </c>
      <c r="J200" s="34"/>
      <c r="K200" s="34">
        <v>0</v>
      </c>
      <c r="L200" s="34"/>
      <c r="M200" s="34">
        <v>201</v>
      </c>
      <c r="N200" s="34"/>
      <c r="O200" s="34">
        <v>4871</v>
      </c>
      <c r="P200" s="34"/>
      <c r="Q200" s="34">
        <v>79742</v>
      </c>
      <c r="R200" s="34"/>
      <c r="S200" s="34">
        <v>0</v>
      </c>
      <c r="T200" s="34"/>
      <c r="U200" s="34">
        <v>0</v>
      </c>
      <c r="V200" s="34"/>
      <c r="W200" s="34">
        <v>0</v>
      </c>
      <c r="X200" s="34"/>
      <c r="Y200" s="34">
        <v>0</v>
      </c>
      <c r="Z200" s="34"/>
      <c r="AA200" s="34">
        <v>0</v>
      </c>
      <c r="AB200" s="32"/>
      <c r="AC200" s="34">
        <v>0</v>
      </c>
      <c r="AD200" s="34"/>
      <c r="AE200" s="33">
        <f t="shared" si="2"/>
        <v>84814</v>
      </c>
    </row>
    <row r="201" spans="1:31" ht="12.75" customHeight="1">
      <c r="A201" s="1" t="s">
        <v>87</v>
      </c>
      <c r="C201" s="1" t="s">
        <v>309</v>
      </c>
      <c r="E201" s="34">
        <v>3067</v>
      </c>
      <c r="F201" s="34"/>
      <c r="G201" s="34">
        <v>53</v>
      </c>
      <c r="H201" s="34"/>
      <c r="I201" s="34">
        <v>0</v>
      </c>
      <c r="J201" s="34"/>
      <c r="K201" s="34">
        <v>0</v>
      </c>
      <c r="L201" s="34"/>
      <c r="M201" s="34">
        <v>0</v>
      </c>
      <c r="N201" s="34"/>
      <c r="O201" s="34">
        <v>0</v>
      </c>
      <c r="P201" s="34"/>
      <c r="Q201" s="34">
        <v>40865</v>
      </c>
      <c r="R201" s="34"/>
      <c r="S201" s="34">
        <v>0</v>
      </c>
      <c r="T201" s="34"/>
      <c r="U201" s="34">
        <v>0</v>
      </c>
      <c r="V201" s="34"/>
      <c r="W201" s="34">
        <v>0</v>
      </c>
      <c r="X201" s="34"/>
      <c r="Y201" s="34">
        <v>0</v>
      </c>
      <c r="Z201" s="32"/>
      <c r="AA201" s="34">
        <v>0</v>
      </c>
      <c r="AB201" s="34"/>
      <c r="AC201" s="34">
        <v>0</v>
      </c>
      <c r="AD201" s="34"/>
      <c r="AE201" s="33">
        <f t="shared" si="2"/>
        <v>43985</v>
      </c>
    </row>
    <row r="202" spans="1:31" ht="12.75" customHeight="1">
      <c r="A202" s="1" t="s">
        <v>208</v>
      </c>
      <c r="C202" s="1" t="s">
        <v>67</v>
      </c>
      <c r="E202" s="34">
        <v>1521</v>
      </c>
      <c r="F202" s="34"/>
      <c r="G202" s="34">
        <v>0</v>
      </c>
      <c r="H202" s="34"/>
      <c r="I202" s="34">
        <v>0</v>
      </c>
      <c r="J202" s="34"/>
      <c r="K202" s="34">
        <v>0</v>
      </c>
      <c r="L202" s="34"/>
      <c r="M202" s="34">
        <v>215</v>
      </c>
      <c r="N202" s="34"/>
      <c r="O202" s="34">
        <v>0</v>
      </c>
      <c r="P202" s="34"/>
      <c r="Q202" s="34">
        <v>5761</v>
      </c>
      <c r="R202" s="34"/>
      <c r="S202" s="34">
        <v>0</v>
      </c>
      <c r="T202" s="34"/>
      <c r="U202" s="34">
        <v>0</v>
      </c>
      <c r="V202" s="34"/>
      <c r="W202" s="34">
        <v>0</v>
      </c>
      <c r="X202" s="34"/>
      <c r="Y202" s="34">
        <v>0</v>
      </c>
      <c r="Z202" s="34"/>
      <c r="AA202" s="34">
        <v>0</v>
      </c>
      <c r="AB202" s="32"/>
      <c r="AC202" s="34">
        <v>0</v>
      </c>
      <c r="AD202" s="34"/>
      <c r="AE202" s="33">
        <f t="shared" si="2"/>
        <v>7497</v>
      </c>
    </row>
    <row r="203" spans="1:31" ht="12.75" customHeight="1">
      <c r="A203" s="1" t="s">
        <v>526</v>
      </c>
      <c r="C203" s="1" t="s">
        <v>90</v>
      </c>
      <c r="E203" s="34">
        <v>109812</v>
      </c>
      <c r="F203" s="34"/>
      <c r="G203" s="34">
        <v>500</v>
      </c>
      <c r="H203" s="34"/>
      <c r="I203" s="34">
        <v>0</v>
      </c>
      <c r="J203" s="34"/>
      <c r="K203" s="34">
        <v>13755</v>
      </c>
      <c r="L203" s="34"/>
      <c r="M203" s="34">
        <v>0</v>
      </c>
      <c r="N203" s="34"/>
      <c r="O203" s="34">
        <v>38900</v>
      </c>
      <c r="P203" s="34"/>
      <c r="Q203" s="34">
        <v>136401</v>
      </c>
      <c r="R203" s="34"/>
      <c r="S203" s="34">
        <v>0</v>
      </c>
      <c r="T203" s="34"/>
      <c r="U203" s="34">
        <v>0</v>
      </c>
      <c r="V203" s="34"/>
      <c r="W203" s="34">
        <v>0</v>
      </c>
      <c r="X203" s="34"/>
      <c r="Y203" s="34">
        <v>0</v>
      </c>
      <c r="Z203" s="32"/>
      <c r="AA203" s="34">
        <v>0</v>
      </c>
      <c r="AB203" s="34"/>
      <c r="AC203" s="34">
        <v>0</v>
      </c>
      <c r="AD203" s="34"/>
      <c r="AE203" s="33">
        <f t="shared" si="2"/>
        <v>299368</v>
      </c>
    </row>
    <row r="204" spans="1:31" ht="12.75" customHeight="1">
      <c r="A204" s="1" t="s">
        <v>209</v>
      </c>
      <c r="C204" s="1" t="s">
        <v>210</v>
      </c>
      <c r="E204" s="34">
        <v>860643</v>
      </c>
      <c r="F204" s="34"/>
      <c r="G204" s="34">
        <v>7110</v>
      </c>
      <c r="H204" s="34"/>
      <c r="I204" s="34">
        <v>57446</v>
      </c>
      <c r="J204" s="34"/>
      <c r="K204" s="34">
        <v>85277</v>
      </c>
      <c r="L204" s="34"/>
      <c r="M204" s="34">
        <v>0</v>
      </c>
      <c r="N204" s="34"/>
      <c r="O204" s="34">
        <v>66606</v>
      </c>
      <c r="P204" s="34"/>
      <c r="Q204" s="34">
        <v>1167092</v>
      </c>
      <c r="R204" s="34"/>
      <c r="S204" s="34">
        <v>33889</v>
      </c>
      <c r="T204" s="34"/>
      <c r="U204" s="34">
        <v>0</v>
      </c>
      <c r="V204" s="34"/>
      <c r="W204" s="34">
        <v>0</v>
      </c>
      <c r="X204" s="34"/>
      <c r="Y204" s="34">
        <v>178358</v>
      </c>
      <c r="Z204" s="34"/>
      <c r="AA204" s="34">
        <v>192000</v>
      </c>
      <c r="AB204" s="32"/>
      <c r="AC204" s="34">
        <v>0</v>
      </c>
      <c r="AD204" s="34"/>
      <c r="AE204" s="33">
        <f aca="true" t="shared" si="3" ref="AE204:AE268">SUM(E204:AC204)</f>
        <v>2648421</v>
      </c>
    </row>
    <row r="205" spans="1:31" ht="12.75" customHeight="1">
      <c r="A205" s="1" t="s">
        <v>211</v>
      </c>
      <c r="C205" s="1" t="s">
        <v>182</v>
      </c>
      <c r="E205" s="34">
        <v>119412</v>
      </c>
      <c r="F205" s="34"/>
      <c r="G205" s="34">
        <v>2501</v>
      </c>
      <c r="H205" s="34"/>
      <c r="I205" s="34">
        <v>4407</v>
      </c>
      <c r="J205" s="34"/>
      <c r="K205" s="34">
        <v>4813</v>
      </c>
      <c r="L205" s="34"/>
      <c r="M205" s="34">
        <v>40000</v>
      </c>
      <c r="N205" s="34"/>
      <c r="O205" s="34">
        <v>13856</v>
      </c>
      <c r="P205" s="34"/>
      <c r="Q205" s="34">
        <v>330278</v>
      </c>
      <c r="R205" s="34"/>
      <c r="S205" s="34">
        <v>60490</v>
      </c>
      <c r="T205" s="34"/>
      <c r="U205" s="34">
        <v>0</v>
      </c>
      <c r="V205" s="34"/>
      <c r="W205" s="34">
        <v>0</v>
      </c>
      <c r="X205" s="34"/>
      <c r="Y205" s="34">
        <v>105450</v>
      </c>
      <c r="Z205" s="34"/>
      <c r="AA205" s="34">
        <v>0</v>
      </c>
      <c r="AB205" s="32"/>
      <c r="AC205" s="34">
        <v>0</v>
      </c>
      <c r="AD205" s="34"/>
      <c r="AE205" s="33">
        <f t="shared" si="3"/>
        <v>681207</v>
      </c>
    </row>
    <row r="206" spans="1:31" ht="12.75" customHeight="1">
      <c r="A206" s="1" t="s">
        <v>605</v>
      </c>
      <c r="C206" s="1" t="s">
        <v>182</v>
      </c>
      <c r="E206" s="34">
        <v>3203</v>
      </c>
      <c r="F206" s="34"/>
      <c r="G206" s="34">
        <v>0</v>
      </c>
      <c r="H206" s="34"/>
      <c r="I206" s="34">
        <v>2177</v>
      </c>
      <c r="J206" s="34"/>
      <c r="K206" s="34">
        <v>0</v>
      </c>
      <c r="L206" s="34"/>
      <c r="M206" s="34">
        <v>430</v>
      </c>
      <c r="N206" s="34"/>
      <c r="O206" s="34">
        <v>4074</v>
      </c>
      <c r="P206" s="34"/>
      <c r="Q206" s="34">
        <v>6286</v>
      </c>
      <c r="R206" s="34"/>
      <c r="S206" s="34">
        <v>0</v>
      </c>
      <c r="T206" s="34"/>
      <c r="U206" s="34">
        <v>0</v>
      </c>
      <c r="V206" s="34"/>
      <c r="W206" s="34">
        <v>0</v>
      </c>
      <c r="X206" s="34"/>
      <c r="Y206" s="34">
        <v>0</v>
      </c>
      <c r="Z206" s="32"/>
      <c r="AA206" s="34">
        <v>0</v>
      </c>
      <c r="AB206" s="34"/>
      <c r="AC206" s="34">
        <v>214</v>
      </c>
      <c r="AD206" s="34"/>
      <c r="AE206" s="33">
        <f t="shared" si="3"/>
        <v>16384</v>
      </c>
    </row>
    <row r="207" spans="1:31" ht="12.75" customHeight="1">
      <c r="A207" s="1" t="s">
        <v>212</v>
      </c>
      <c r="C207" s="1" t="s">
        <v>137</v>
      </c>
      <c r="E207" s="34">
        <v>698927</v>
      </c>
      <c r="F207" s="34"/>
      <c r="G207" s="34">
        <v>0</v>
      </c>
      <c r="H207" s="34"/>
      <c r="I207" s="34">
        <v>57920</v>
      </c>
      <c r="J207" s="34"/>
      <c r="K207" s="34">
        <v>11102</v>
      </c>
      <c r="L207" s="34"/>
      <c r="M207" s="34">
        <v>3436</v>
      </c>
      <c r="N207" s="34"/>
      <c r="O207" s="34">
        <v>4631</v>
      </c>
      <c r="P207" s="34"/>
      <c r="Q207" s="34">
        <v>306107</v>
      </c>
      <c r="R207" s="34"/>
      <c r="S207" s="34">
        <v>50259</v>
      </c>
      <c r="T207" s="34"/>
      <c r="U207" s="34">
        <v>0</v>
      </c>
      <c r="V207" s="34"/>
      <c r="W207" s="34">
        <v>0</v>
      </c>
      <c r="X207" s="34"/>
      <c r="Y207" s="34">
        <v>0</v>
      </c>
      <c r="Z207" s="34"/>
      <c r="AA207" s="34">
        <v>0</v>
      </c>
      <c r="AB207" s="32"/>
      <c r="AC207" s="34">
        <v>0</v>
      </c>
      <c r="AD207" s="34"/>
      <c r="AE207" s="33">
        <f t="shared" si="3"/>
        <v>1132382</v>
      </c>
    </row>
    <row r="208" spans="1:31" ht="12.75" customHeight="1">
      <c r="A208" s="1" t="s">
        <v>213</v>
      </c>
      <c r="C208" s="1" t="s">
        <v>112</v>
      </c>
      <c r="E208" s="34">
        <v>1217609</v>
      </c>
      <c r="F208" s="34"/>
      <c r="G208" s="34">
        <v>0</v>
      </c>
      <c r="H208" s="34"/>
      <c r="I208" s="34">
        <v>17120</v>
      </c>
      <c r="J208" s="34"/>
      <c r="K208" s="34">
        <v>59321</v>
      </c>
      <c r="L208" s="34"/>
      <c r="M208" s="34">
        <v>232631</v>
      </c>
      <c r="N208" s="34"/>
      <c r="O208" s="34">
        <v>781313</v>
      </c>
      <c r="P208" s="34"/>
      <c r="Q208" s="34">
        <v>1269475</v>
      </c>
      <c r="R208" s="34"/>
      <c r="S208" s="34">
        <v>0</v>
      </c>
      <c r="T208" s="34"/>
      <c r="U208" s="34">
        <v>0</v>
      </c>
      <c r="V208" s="34"/>
      <c r="W208" s="34">
        <v>0</v>
      </c>
      <c r="X208" s="34"/>
      <c r="Y208" s="34">
        <v>147900</v>
      </c>
      <c r="Z208" s="34"/>
      <c r="AA208" s="34">
        <v>50000</v>
      </c>
      <c r="AB208" s="32"/>
      <c r="AC208" s="34">
        <v>0</v>
      </c>
      <c r="AD208" s="34"/>
      <c r="AE208" s="33">
        <f t="shared" si="3"/>
        <v>3775369</v>
      </c>
    </row>
    <row r="209" spans="1:31" ht="12.75" customHeight="1">
      <c r="A209" s="1" t="s">
        <v>456</v>
      </c>
      <c r="C209" s="1" t="s">
        <v>76</v>
      </c>
      <c r="E209" s="34">
        <v>196604</v>
      </c>
      <c r="F209" s="34"/>
      <c r="G209" s="34">
        <v>0</v>
      </c>
      <c r="H209" s="34"/>
      <c r="I209" s="34">
        <v>0</v>
      </c>
      <c r="J209" s="34"/>
      <c r="K209" s="34">
        <v>0</v>
      </c>
      <c r="L209" s="34"/>
      <c r="M209" s="34">
        <v>0</v>
      </c>
      <c r="N209" s="34"/>
      <c r="O209" s="34">
        <v>0</v>
      </c>
      <c r="P209" s="34"/>
      <c r="Q209" s="34">
        <v>218717</v>
      </c>
      <c r="R209" s="34"/>
      <c r="S209" s="34">
        <v>0</v>
      </c>
      <c r="T209" s="34"/>
      <c r="U209" s="34">
        <v>0</v>
      </c>
      <c r="V209" s="34"/>
      <c r="W209" s="34">
        <v>0</v>
      </c>
      <c r="X209" s="34"/>
      <c r="Y209" s="34">
        <v>10089</v>
      </c>
      <c r="Z209" s="32"/>
      <c r="AA209" s="34">
        <v>36400</v>
      </c>
      <c r="AB209" s="34"/>
      <c r="AC209" s="34">
        <v>0</v>
      </c>
      <c r="AD209" s="34"/>
      <c r="AE209" s="33">
        <f t="shared" si="3"/>
        <v>461810</v>
      </c>
    </row>
    <row r="210" spans="1:31" ht="12.75" customHeight="1">
      <c r="A210" s="1" t="s">
        <v>214</v>
      </c>
      <c r="C210" s="1" t="s">
        <v>215</v>
      </c>
      <c r="E210" s="34">
        <v>355676</v>
      </c>
      <c r="F210" s="34"/>
      <c r="G210" s="34">
        <v>5610</v>
      </c>
      <c r="H210" s="34"/>
      <c r="I210" s="34">
        <v>0</v>
      </c>
      <c r="J210" s="34"/>
      <c r="K210" s="34">
        <v>3224</v>
      </c>
      <c r="L210" s="34"/>
      <c r="M210" s="34">
        <v>0</v>
      </c>
      <c r="N210" s="34"/>
      <c r="O210" s="34">
        <v>0</v>
      </c>
      <c r="P210" s="34"/>
      <c r="Q210" s="34">
        <v>176459</v>
      </c>
      <c r="R210" s="34"/>
      <c r="S210" s="34">
        <v>37401</v>
      </c>
      <c r="T210" s="34"/>
      <c r="U210" s="34">
        <v>0</v>
      </c>
      <c r="V210" s="34"/>
      <c r="W210" s="34">
        <v>0</v>
      </c>
      <c r="X210" s="34"/>
      <c r="Y210" s="34">
        <v>128890</v>
      </c>
      <c r="Z210" s="34"/>
      <c r="AA210" s="34">
        <v>0</v>
      </c>
      <c r="AB210" s="32"/>
      <c r="AC210" s="34">
        <v>0</v>
      </c>
      <c r="AD210" s="34"/>
      <c r="AE210" s="33">
        <f t="shared" si="3"/>
        <v>707260</v>
      </c>
    </row>
    <row r="211" spans="1:31" ht="12.75" customHeight="1">
      <c r="A211" s="1" t="s">
        <v>474</v>
      </c>
      <c r="C211" s="1" t="s">
        <v>246</v>
      </c>
      <c r="E211" s="34">
        <v>485360</v>
      </c>
      <c r="F211" s="34"/>
      <c r="G211" s="34">
        <v>111</v>
      </c>
      <c r="H211" s="34"/>
      <c r="I211" s="34">
        <v>0</v>
      </c>
      <c r="J211" s="34"/>
      <c r="K211" s="34">
        <v>7804</v>
      </c>
      <c r="L211" s="34"/>
      <c r="M211" s="34">
        <v>0</v>
      </c>
      <c r="N211" s="34"/>
      <c r="O211" s="34">
        <v>0</v>
      </c>
      <c r="P211" s="34"/>
      <c r="Q211" s="34">
        <v>159083</v>
      </c>
      <c r="R211" s="34"/>
      <c r="S211" s="34">
        <v>51326</v>
      </c>
      <c r="T211" s="34"/>
      <c r="U211" s="34">
        <v>0</v>
      </c>
      <c r="V211" s="34"/>
      <c r="W211" s="34">
        <v>0</v>
      </c>
      <c r="X211" s="34"/>
      <c r="Y211" s="34">
        <v>0</v>
      </c>
      <c r="Z211" s="32"/>
      <c r="AA211" s="34">
        <v>0</v>
      </c>
      <c r="AB211" s="34"/>
      <c r="AC211" s="34">
        <v>0</v>
      </c>
      <c r="AD211" s="34"/>
      <c r="AE211" s="33">
        <f t="shared" si="3"/>
        <v>703684</v>
      </c>
    </row>
    <row r="212" spans="1:31" ht="12.75" customHeight="1">
      <c r="A212" s="1" t="s">
        <v>216</v>
      </c>
      <c r="C212" s="1" t="s">
        <v>217</v>
      </c>
      <c r="E212" s="34">
        <v>748370</v>
      </c>
      <c r="F212" s="34"/>
      <c r="G212" s="34">
        <v>1234</v>
      </c>
      <c r="H212" s="34"/>
      <c r="I212" s="34">
        <v>0</v>
      </c>
      <c r="J212" s="34"/>
      <c r="K212" s="34">
        <v>97436</v>
      </c>
      <c r="L212" s="34"/>
      <c r="M212" s="34">
        <v>0</v>
      </c>
      <c r="N212" s="34"/>
      <c r="O212" s="34">
        <v>0</v>
      </c>
      <c r="P212" s="34"/>
      <c r="Q212" s="34">
        <v>549649</v>
      </c>
      <c r="R212" s="34"/>
      <c r="S212" s="34">
        <v>1516</v>
      </c>
      <c r="T212" s="34"/>
      <c r="U212" s="34">
        <v>16400</v>
      </c>
      <c r="V212" s="34"/>
      <c r="W212" s="34">
        <v>43049</v>
      </c>
      <c r="X212" s="34"/>
      <c r="Y212" s="34">
        <v>97336</v>
      </c>
      <c r="Z212" s="34"/>
      <c r="AA212" s="34">
        <v>20000</v>
      </c>
      <c r="AB212" s="32"/>
      <c r="AC212" s="34">
        <v>0</v>
      </c>
      <c r="AD212" s="34"/>
      <c r="AE212" s="33">
        <f t="shared" si="3"/>
        <v>1574990</v>
      </c>
    </row>
    <row r="213" spans="1:31" ht="12.75" customHeight="1">
      <c r="A213" s="1" t="s">
        <v>521</v>
      </c>
      <c r="C213" s="1" t="s">
        <v>78</v>
      </c>
      <c r="E213" s="34">
        <v>18593</v>
      </c>
      <c r="F213" s="34"/>
      <c r="G213" s="34">
        <v>1892</v>
      </c>
      <c r="H213" s="34"/>
      <c r="I213" s="34">
        <v>13590</v>
      </c>
      <c r="J213" s="34"/>
      <c r="K213" s="34">
        <v>17026</v>
      </c>
      <c r="L213" s="34"/>
      <c r="M213" s="34">
        <v>24659</v>
      </c>
      <c r="N213" s="34"/>
      <c r="O213" s="34">
        <v>18158</v>
      </c>
      <c r="P213" s="34"/>
      <c r="Q213" s="34">
        <v>38708</v>
      </c>
      <c r="R213" s="34"/>
      <c r="S213" s="34">
        <v>12991</v>
      </c>
      <c r="T213" s="34"/>
      <c r="U213" s="34">
        <v>108851</v>
      </c>
      <c r="V213" s="34"/>
      <c r="W213" s="34">
        <v>2764</v>
      </c>
      <c r="X213" s="34"/>
      <c r="Y213" s="34">
        <v>953</v>
      </c>
      <c r="Z213" s="32"/>
      <c r="AA213" s="34">
        <v>0</v>
      </c>
      <c r="AB213" s="34"/>
      <c r="AC213" s="34">
        <v>0</v>
      </c>
      <c r="AD213" s="34"/>
      <c r="AE213" s="33">
        <f t="shared" si="3"/>
        <v>258185</v>
      </c>
    </row>
    <row r="214" spans="1:31" ht="12.75" customHeight="1">
      <c r="A214" s="1" t="s">
        <v>717</v>
      </c>
      <c r="C214" s="1" t="s">
        <v>142</v>
      </c>
      <c r="E214" s="34">
        <v>352493</v>
      </c>
      <c r="F214" s="34"/>
      <c r="G214" s="34">
        <v>552</v>
      </c>
      <c r="H214" s="34"/>
      <c r="I214" s="34">
        <v>40585</v>
      </c>
      <c r="J214" s="34"/>
      <c r="K214" s="34">
        <v>3596</v>
      </c>
      <c r="L214" s="34"/>
      <c r="M214" s="34">
        <v>0</v>
      </c>
      <c r="N214" s="34"/>
      <c r="O214" s="34">
        <v>0</v>
      </c>
      <c r="P214" s="34"/>
      <c r="Q214" s="34">
        <v>222407</v>
      </c>
      <c r="R214" s="34"/>
      <c r="S214" s="34">
        <v>6501</v>
      </c>
      <c r="T214" s="34"/>
      <c r="U214" s="34">
        <v>0</v>
      </c>
      <c r="V214" s="34"/>
      <c r="W214" s="34">
        <v>0</v>
      </c>
      <c r="X214" s="34"/>
      <c r="Y214" s="34">
        <v>8720</v>
      </c>
      <c r="Z214" s="32"/>
      <c r="AA214" s="34">
        <v>30000</v>
      </c>
      <c r="AB214" s="34"/>
      <c r="AC214" s="34">
        <v>0</v>
      </c>
      <c r="AD214" s="34"/>
      <c r="AE214" s="33">
        <f t="shared" si="3"/>
        <v>664854</v>
      </c>
    </row>
    <row r="215" spans="1:31" ht="12.75" customHeight="1">
      <c r="A215" s="1" t="s">
        <v>704</v>
      </c>
      <c r="C215" s="1" t="s">
        <v>110</v>
      </c>
      <c r="E215" s="34">
        <v>9764</v>
      </c>
      <c r="F215" s="34"/>
      <c r="G215" s="34">
        <v>0</v>
      </c>
      <c r="H215" s="34"/>
      <c r="I215" s="34">
        <v>4015</v>
      </c>
      <c r="J215" s="34"/>
      <c r="K215" s="34">
        <v>130</v>
      </c>
      <c r="L215" s="34"/>
      <c r="M215" s="34">
        <v>6667</v>
      </c>
      <c r="N215" s="34"/>
      <c r="O215" s="34">
        <v>0</v>
      </c>
      <c r="P215" s="34"/>
      <c r="Q215" s="34">
        <v>21339</v>
      </c>
      <c r="R215" s="34"/>
      <c r="S215" s="34">
        <v>2064</v>
      </c>
      <c r="T215" s="34"/>
      <c r="U215" s="34">
        <v>0</v>
      </c>
      <c r="V215" s="34"/>
      <c r="W215" s="34">
        <v>0</v>
      </c>
      <c r="X215" s="34"/>
      <c r="Y215" s="34">
        <v>0</v>
      </c>
      <c r="Z215" s="32"/>
      <c r="AA215" s="34">
        <v>0</v>
      </c>
      <c r="AB215" s="34"/>
      <c r="AC215" s="34">
        <v>0</v>
      </c>
      <c r="AD215" s="34"/>
      <c r="AE215" s="33">
        <f t="shared" si="3"/>
        <v>43979</v>
      </c>
    </row>
    <row r="216" spans="1:31" ht="12.75" customHeight="1">
      <c r="A216" s="1" t="s">
        <v>705</v>
      </c>
      <c r="C216" s="1" t="s">
        <v>110</v>
      </c>
      <c r="E216" s="34">
        <v>99696</v>
      </c>
      <c r="F216" s="34"/>
      <c r="G216" s="34">
        <v>3888</v>
      </c>
      <c r="H216" s="34"/>
      <c r="I216" s="34">
        <v>5773</v>
      </c>
      <c r="J216" s="34"/>
      <c r="K216" s="34">
        <v>9291</v>
      </c>
      <c r="L216" s="34"/>
      <c r="M216" s="34">
        <v>2054</v>
      </c>
      <c r="N216" s="34"/>
      <c r="O216" s="34">
        <v>3276</v>
      </c>
      <c r="P216" s="34"/>
      <c r="Q216" s="34">
        <v>122706</v>
      </c>
      <c r="R216" s="34"/>
      <c r="S216" s="34">
        <v>0</v>
      </c>
      <c r="T216" s="34"/>
      <c r="U216" s="34">
        <v>0</v>
      </c>
      <c r="V216" s="34"/>
      <c r="W216" s="34">
        <v>0</v>
      </c>
      <c r="X216" s="34"/>
      <c r="Y216" s="34">
        <v>142000</v>
      </c>
      <c r="Z216" s="32"/>
      <c r="AA216" s="34">
        <v>0</v>
      </c>
      <c r="AB216" s="34"/>
      <c r="AC216" s="34">
        <v>0</v>
      </c>
      <c r="AD216" s="34"/>
      <c r="AE216" s="33">
        <f t="shared" si="3"/>
        <v>388684</v>
      </c>
    </row>
    <row r="217" spans="1:31" ht="12.75" customHeight="1">
      <c r="A217" s="1" t="s">
        <v>218</v>
      </c>
      <c r="C217" s="1" t="s">
        <v>73</v>
      </c>
      <c r="E217" s="34">
        <v>833594</v>
      </c>
      <c r="F217" s="34"/>
      <c r="G217" s="34">
        <v>4900</v>
      </c>
      <c r="H217" s="34"/>
      <c r="I217" s="34">
        <v>19132</v>
      </c>
      <c r="J217" s="34"/>
      <c r="K217" s="34">
        <v>474</v>
      </c>
      <c r="L217" s="34"/>
      <c r="M217" s="34">
        <v>308364</v>
      </c>
      <c r="N217" s="34"/>
      <c r="O217" s="34">
        <v>216602</v>
      </c>
      <c r="P217" s="34"/>
      <c r="Q217" s="34">
        <v>364421</v>
      </c>
      <c r="R217" s="34"/>
      <c r="S217" s="34">
        <v>9254</v>
      </c>
      <c r="T217" s="34"/>
      <c r="U217" s="34">
        <v>0</v>
      </c>
      <c r="V217" s="34"/>
      <c r="W217" s="34">
        <v>0</v>
      </c>
      <c r="X217" s="34"/>
      <c r="Y217" s="34">
        <v>274577</v>
      </c>
      <c r="Z217" s="34"/>
      <c r="AA217" s="34">
        <v>0</v>
      </c>
      <c r="AB217" s="32"/>
      <c r="AC217" s="34">
        <v>0</v>
      </c>
      <c r="AD217" s="34"/>
      <c r="AE217" s="33">
        <f t="shared" si="3"/>
        <v>2031318</v>
      </c>
    </row>
    <row r="218" spans="1:31" ht="12.75" customHeight="1">
      <c r="A218" s="1" t="s">
        <v>219</v>
      </c>
      <c r="C218" s="1" t="s">
        <v>179</v>
      </c>
      <c r="E218" s="34">
        <v>2214</v>
      </c>
      <c r="F218" s="34"/>
      <c r="G218" s="34">
        <v>0</v>
      </c>
      <c r="H218" s="34"/>
      <c r="I218" s="34">
        <v>0</v>
      </c>
      <c r="J218" s="34"/>
      <c r="K218" s="34">
        <v>0</v>
      </c>
      <c r="L218" s="34"/>
      <c r="M218" s="34">
        <v>0</v>
      </c>
      <c r="N218" s="34"/>
      <c r="O218" s="34">
        <v>0</v>
      </c>
      <c r="P218" s="34"/>
      <c r="Q218" s="34">
        <v>17668</v>
      </c>
      <c r="R218" s="34"/>
      <c r="S218" s="34">
        <v>0</v>
      </c>
      <c r="T218" s="34"/>
      <c r="U218" s="34">
        <v>0</v>
      </c>
      <c r="V218" s="34"/>
      <c r="W218" s="34">
        <v>0</v>
      </c>
      <c r="X218" s="34"/>
      <c r="Y218" s="34">
        <v>0</v>
      </c>
      <c r="Z218" s="34"/>
      <c r="AA218" s="34">
        <v>0</v>
      </c>
      <c r="AB218" s="32"/>
      <c r="AC218" s="34">
        <v>0</v>
      </c>
      <c r="AD218" s="34"/>
      <c r="AE218" s="33">
        <f t="shared" si="3"/>
        <v>19882</v>
      </c>
    </row>
    <row r="219" spans="1:31" ht="12.75" customHeight="1">
      <c r="A219" s="1" t="s">
        <v>220</v>
      </c>
      <c r="C219" s="1" t="s">
        <v>221</v>
      </c>
      <c r="E219" s="34">
        <v>15480</v>
      </c>
      <c r="F219" s="34"/>
      <c r="G219" s="34">
        <v>579</v>
      </c>
      <c r="H219" s="34"/>
      <c r="I219" s="34">
        <v>0</v>
      </c>
      <c r="J219" s="34"/>
      <c r="K219" s="34">
        <v>0</v>
      </c>
      <c r="L219" s="34"/>
      <c r="M219" s="34">
        <v>0</v>
      </c>
      <c r="N219" s="34"/>
      <c r="O219" s="34">
        <v>0</v>
      </c>
      <c r="P219" s="34"/>
      <c r="Q219" s="34">
        <v>26683</v>
      </c>
      <c r="R219" s="34"/>
      <c r="S219" s="34">
        <v>0</v>
      </c>
      <c r="T219" s="34"/>
      <c r="U219" s="34">
        <v>0</v>
      </c>
      <c r="V219" s="34"/>
      <c r="W219" s="34">
        <v>0</v>
      </c>
      <c r="X219" s="34"/>
      <c r="Y219" s="34">
        <v>0</v>
      </c>
      <c r="Z219" s="34"/>
      <c r="AA219" s="34">
        <v>0</v>
      </c>
      <c r="AB219" s="32"/>
      <c r="AC219" s="34">
        <v>912</v>
      </c>
      <c r="AD219" s="34"/>
      <c r="AE219" s="33">
        <f t="shared" si="3"/>
        <v>43654</v>
      </c>
    </row>
    <row r="220" spans="1:31" ht="12.75" customHeight="1">
      <c r="A220" s="1" t="s">
        <v>516</v>
      </c>
      <c r="C220" s="1" t="s">
        <v>112</v>
      </c>
      <c r="E220" s="34">
        <v>577192</v>
      </c>
      <c r="F220" s="34"/>
      <c r="G220" s="34">
        <v>6540</v>
      </c>
      <c r="H220" s="34"/>
      <c r="I220" s="34">
        <v>0</v>
      </c>
      <c r="J220" s="34"/>
      <c r="K220" s="34">
        <v>146532</v>
      </c>
      <c r="L220" s="34"/>
      <c r="M220" s="34">
        <v>0</v>
      </c>
      <c r="N220" s="34"/>
      <c r="O220" s="34">
        <v>0</v>
      </c>
      <c r="P220" s="34"/>
      <c r="Q220" s="34">
        <v>970017</v>
      </c>
      <c r="R220" s="34"/>
      <c r="S220" s="34">
        <v>1417697</v>
      </c>
      <c r="T220" s="34"/>
      <c r="U220" s="34">
        <v>0</v>
      </c>
      <c r="V220" s="34"/>
      <c r="W220" s="34">
        <v>0</v>
      </c>
      <c r="X220" s="34"/>
      <c r="Y220" s="34">
        <v>255000</v>
      </c>
      <c r="Z220" s="32"/>
      <c r="AA220" s="34">
        <v>0</v>
      </c>
      <c r="AB220" s="34"/>
      <c r="AC220" s="34">
        <v>0</v>
      </c>
      <c r="AD220" s="34"/>
      <c r="AE220" s="33">
        <f t="shared" si="3"/>
        <v>3372978</v>
      </c>
    </row>
    <row r="221" spans="1:31" ht="12.75" customHeight="1">
      <c r="A221" s="1" t="s">
        <v>642</v>
      </c>
      <c r="C221" s="1" t="s">
        <v>274</v>
      </c>
      <c r="E221" s="34">
        <v>1828</v>
      </c>
      <c r="F221" s="34"/>
      <c r="G221" s="34">
        <v>4020</v>
      </c>
      <c r="H221" s="34"/>
      <c r="I221" s="34">
        <v>273</v>
      </c>
      <c r="J221" s="34"/>
      <c r="K221" s="34">
        <v>3544</v>
      </c>
      <c r="L221" s="34"/>
      <c r="M221" s="34">
        <v>0</v>
      </c>
      <c r="N221" s="34"/>
      <c r="O221" s="34">
        <v>0</v>
      </c>
      <c r="P221" s="34"/>
      <c r="Q221" s="34">
        <v>43657</v>
      </c>
      <c r="R221" s="34"/>
      <c r="S221" s="34">
        <v>0</v>
      </c>
      <c r="T221" s="34"/>
      <c r="U221" s="34">
        <v>0</v>
      </c>
      <c r="V221" s="34"/>
      <c r="W221" s="34">
        <v>15607</v>
      </c>
      <c r="X221" s="34"/>
      <c r="Y221" s="34">
        <v>0</v>
      </c>
      <c r="Z221" s="32"/>
      <c r="AA221" s="34">
        <v>0</v>
      </c>
      <c r="AB221" s="34"/>
      <c r="AC221" s="34">
        <v>0</v>
      </c>
      <c r="AD221" s="34"/>
      <c r="AE221" s="33">
        <f t="shared" si="3"/>
        <v>68929</v>
      </c>
    </row>
    <row r="222" spans="1:31" ht="12.75" customHeight="1">
      <c r="A222" s="1" t="s">
        <v>459</v>
      </c>
      <c r="C222" s="1" t="s">
        <v>71</v>
      </c>
      <c r="E222" s="34">
        <v>168947</v>
      </c>
      <c r="F222" s="34"/>
      <c r="G222" s="34">
        <v>1476</v>
      </c>
      <c r="H222" s="34"/>
      <c r="I222" s="34">
        <v>0</v>
      </c>
      <c r="J222" s="34"/>
      <c r="K222" s="34">
        <v>0</v>
      </c>
      <c r="L222" s="34"/>
      <c r="M222" s="34">
        <v>0</v>
      </c>
      <c r="N222" s="34"/>
      <c r="O222" s="34">
        <v>0</v>
      </c>
      <c r="P222" s="34"/>
      <c r="Q222" s="34">
        <v>93294</v>
      </c>
      <c r="R222" s="34"/>
      <c r="S222" s="34">
        <v>0</v>
      </c>
      <c r="T222" s="34"/>
      <c r="U222" s="34">
        <v>24421</v>
      </c>
      <c r="V222" s="34"/>
      <c r="W222" s="34">
        <v>0</v>
      </c>
      <c r="X222" s="34"/>
      <c r="Y222" s="34">
        <v>0</v>
      </c>
      <c r="Z222" s="32"/>
      <c r="AA222" s="34">
        <v>0</v>
      </c>
      <c r="AB222" s="34"/>
      <c r="AC222" s="34">
        <v>0</v>
      </c>
      <c r="AD222" s="34"/>
      <c r="AE222" s="33">
        <f t="shared" si="3"/>
        <v>288138</v>
      </c>
    </row>
    <row r="223" spans="1:31" ht="12.75" customHeight="1">
      <c r="A223" s="1" t="s">
        <v>222</v>
      </c>
      <c r="C223" s="1" t="s">
        <v>96</v>
      </c>
      <c r="E223" s="34">
        <v>36664</v>
      </c>
      <c r="F223" s="34"/>
      <c r="G223" s="34">
        <v>1001</v>
      </c>
      <c r="H223" s="34"/>
      <c r="I223" s="34">
        <v>9220</v>
      </c>
      <c r="J223" s="34"/>
      <c r="K223" s="34">
        <v>690</v>
      </c>
      <c r="L223" s="34"/>
      <c r="M223" s="34">
        <v>84627</v>
      </c>
      <c r="N223" s="34"/>
      <c r="O223" s="34">
        <v>52663</v>
      </c>
      <c r="P223" s="34"/>
      <c r="Q223" s="34">
        <v>72179</v>
      </c>
      <c r="R223" s="34"/>
      <c r="S223" s="34">
        <v>27288</v>
      </c>
      <c r="T223" s="34"/>
      <c r="U223" s="34">
        <v>4006</v>
      </c>
      <c r="V223" s="34"/>
      <c r="W223" s="34">
        <v>0</v>
      </c>
      <c r="X223" s="34"/>
      <c r="Y223" s="34">
        <v>0</v>
      </c>
      <c r="Z223" s="34"/>
      <c r="AA223" s="34">
        <v>0</v>
      </c>
      <c r="AB223" s="32"/>
      <c r="AC223" s="34">
        <v>0</v>
      </c>
      <c r="AD223" s="34"/>
      <c r="AE223" s="33">
        <f t="shared" si="3"/>
        <v>288338</v>
      </c>
    </row>
    <row r="224" spans="1:31" ht="12.75" customHeight="1">
      <c r="A224" s="1" t="s">
        <v>223</v>
      </c>
      <c r="C224" s="1" t="s">
        <v>73</v>
      </c>
      <c r="E224" s="34">
        <v>1352733</v>
      </c>
      <c r="F224" s="34"/>
      <c r="G224" s="34">
        <v>2855</v>
      </c>
      <c r="H224" s="34"/>
      <c r="I224" s="34">
        <v>0</v>
      </c>
      <c r="J224" s="34"/>
      <c r="K224" s="34">
        <v>29770</v>
      </c>
      <c r="L224" s="34"/>
      <c r="M224" s="34">
        <v>3204</v>
      </c>
      <c r="N224" s="34"/>
      <c r="O224" s="34">
        <v>25149</v>
      </c>
      <c r="P224" s="34"/>
      <c r="Q224" s="34">
        <v>687286</v>
      </c>
      <c r="R224" s="34"/>
      <c r="S224" s="34">
        <v>0</v>
      </c>
      <c r="T224" s="34"/>
      <c r="U224" s="34">
        <v>0</v>
      </c>
      <c r="V224" s="34"/>
      <c r="W224" s="34">
        <v>0</v>
      </c>
      <c r="X224" s="34"/>
      <c r="Y224" s="34">
        <v>0</v>
      </c>
      <c r="Z224" s="34"/>
      <c r="AA224" s="34">
        <v>0</v>
      </c>
      <c r="AB224" s="32"/>
      <c r="AC224" s="34">
        <v>0</v>
      </c>
      <c r="AD224" s="34"/>
      <c r="AE224" s="33">
        <f t="shared" si="3"/>
        <v>2100997</v>
      </c>
    </row>
    <row r="225" spans="1:31" ht="12.75" customHeight="1">
      <c r="A225" s="1" t="s">
        <v>226</v>
      </c>
      <c r="C225" s="1" t="s">
        <v>78</v>
      </c>
      <c r="E225" s="34">
        <v>8354</v>
      </c>
      <c r="F225" s="34"/>
      <c r="G225" s="34">
        <v>308</v>
      </c>
      <c r="H225" s="34"/>
      <c r="I225" s="34">
        <v>2586</v>
      </c>
      <c r="J225" s="34"/>
      <c r="K225" s="34">
        <v>0</v>
      </c>
      <c r="L225" s="34"/>
      <c r="M225" s="34">
        <v>10210</v>
      </c>
      <c r="N225" s="34"/>
      <c r="O225" s="34">
        <v>0</v>
      </c>
      <c r="P225" s="34"/>
      <c r="Q225" s="34">
        <v>26040</v>
      </c>
      <c r="R225" s="34"/>
      <c r="S225" s="34">
        <v>0</v>
      </c>
      <c r="T225" s="34"/>
      <c r="U225" s="34">
        <v>0</v>
      </c>
      <c r="V225" s="34"/>
      <c r="W225" s="34">
        <v>0</v>
      </c>
      <c r="X225" s="34"/>
      <c r="Y225" s="34">
        <v>0</v>
      </c>
      <c r="Z225" s="34"/>
      <c r="AA225" s="34">
        <v>0</v>
      </c>
      <c r="AB225" s="32"/>
      <c r="AC225" s="34">
        <v>0</v>
      </c>
      <c r="AD225" s="34"/>
      <c r="AE225" s="33">
        <f t="shared" si="3"/>
        <v>47498</v>
      </c>
    </row>
    <row r="226" spans="1:31" ht="12.75" customHeight="1">
      <c r="A226" s="1" t="s">
        <v>227</v>
      </c>
      <c r="C226" s="1" t="s">
        <v>228</v>
      </c>
      <c r="E226" s="34">
        <v>561306</v>
      </c>
      <c r="F226" s="34"/>
      <c r="G226" s="34">
        <v>39037</v>
      </c>
      <c r="H226" s="34"/>
      <c r="I226" s="34">
        <v>10617</v>
      </c>
      <c r="J226" s="34"/>
      <c r="K226" s="34">
        <v>4141</v>
      </c>
      <c r="L226" s="34"/>
      <c r="M226" s="34">
        <v>106387</v>
      </c>
      <c r="N226" s="34"/>
      <c r="O226" s="34">
        <v>0</v>
      </c>
      <c r="P226" s="34"/>
      <c r="Q226" s="34">
        <v>433606</v>
      </c>
      <c r="R226" s="34"/>
      <c r="S226" s="34">
        <v>73420</v>
      </c>
      <c r="T226" s="34"/>
      <c r="U226" s="34">
        <v>0</v>
      </c>
      <c r="V226" s="34"/>
      <c r="W226" s="34">
        <v>0</v>
      </c>
      <c r="X226" s="34"/>
      <c r="Y226" s="34">
        <v>120577</v>
      </c>
      <c r="Z226" s="34"/>
      <c r="AA226" s="34">
        <v>0</v>
      </c>
      <c r="AB226" s="32"/>
      <c r="AC226" s="34">
        <v>85619</v>
      </c>
      <c r="AD226" s="34"/>
      <c r="AE226" s="33">
        <f t="shared" si="3"/>
        <v>1434710</v>
      </c>
    </row>
    <row r="227" spans="1:31" ht="12.75" customHeight="1">
      <c r="A227" s="1" t="s">
        <v>770</v>
      </c>
      <c r="C227" s="1" t="s">
        <v>94</v>
      </c>
      <c r="E227" s="34">
        <v>62620</v>
      </c>
      <c r="F227" s="34"/>
      <c r="G227" s="34">
        <v>920</v>
      </c>
      <c r="H227" s="34"/>
      <c r="I227" s="34">
        <v>18734</v>
      </c>
      <c r="J227" s="34"/>
      <c r="K227" s="34">
        <v>1724</v>
      </c>
      <c r="L227" s="34"/>
      <c r="M227" s="34">
        <v>5818</v>
      </c>
      <c r="N227" s="34"/>
      <c r="O227" s="34">
        <v>49431</v>
      </c>
      <c r="P227" s="34"/>
      <c r="Q227" s="34">
        <v>109580</v>
      </c>
      <c r="R227" s="34"/>
      <c r="S227" s="34">
        <v>4084</v>
      </c>
      <c r="T227" s="34"/>
      <c r="U227" s="34">
        <v>0</v>
      </c>
      <c r="V227" s="34"/>
      <c r="W227" s="34">
        <v>0</v>
      </c>
      <c r="X227" s="34"/>
      <c r="Y227" s="34">
        <v>2497</v>
      </c>
      <c r="Z227" s="32"/>
      <c r="AA227" s="34">
        <v>0</v>
      </c>
      <c r="AB227" s="34"/>
      <c r="AC227" s="34">
        <v>0</v>
      </c>
      <c r="AD227" s="34"/>
      <c r="AE227" s="33">
        <f t="shared" si="3"/>
        <v>255408</v>
      </c>
    </row>
    <row r="228" spans="1:31" ht="12.75" customHeight="1">
      <c r="A228" s="1" t="s">
        <v>229</v>
      </c>
      <c r="C228" s="1" t="s">
        <v>197</v>
      </c>
      <c r="E228" s="34">
        <v>416722</v>
      </c>
      <c r="F228" s="34"/>
      <c r="G228" s="34">
        <v>3389</v>
      </c>
      <c r="H228" s="34"/>
      <c r="I228" s="34">
        <v>2530</v>
      </c>
      <c r="J228" s="34"/>
      <c r="K228" s="34">
        <v>3575</v>
      </c>
      <c r="L228" s="34"/>
      <c r="M228" s="34">
        <v>0</v>
      </c>
      <c r="N228" s="34"/>
      <c r="O228" s="34">
        <v>16309</v>
      </c>
      <c r="P228" s="34"/>
      <c r="Q228" s="34">
        <v>142827</v>
      </c>
      <c r="R228" s="34"/>
      <c r="S228" s="34">
        <v>0</v>
      </c>
      <c r="T228" s="34"/>
      <c r="U228" s="34">
        <v>5670</v>
      </c>
      <c r="V228" s="34"/>
      <c r="W228" s="34">
        <v>259</v>
      </c>
      <c r="X228" s="34"/>
      <c r="Y228" s="34">
        <v>9225</v>
      </c>
      <c r="Z228" s="34"/>
      <c r="AA228" s="34">
        <v>0</v>
      </c>
      <c r="AB228" s="32"/>
      <c r="AC228" s="34">
        <v>0</v>
      </c>
      <c r="AD228" s="34"/>
      <c r="AE228" s="33">
        <f t="shared" si="3"/>
        <v>600506</v>
      </c>
    </row>
    <row r="229" spans="1:31" ht="12.75" customHeight="1">
      <c r="A229" s="1" t="s">
        <v>230</v>
      </c>
      <c r="C229" s="1" t="s">
        <v>231</v>
      </c>
      <c r="E229" s="34">
        <v>783092</v>
      </c>
      <c r="F229" s="34"/>
      <c r="G229" s="34">
        <v>19486</v>
      </c>
      <c r="H229" s="34"/>
      <c r="I229" s="34">
        <v>0</v>
      </c>
      <c r="J229" s="34"/>
      <c r="K229" s="34">
        <v>99763</v>
      </c>
      <c r="L229" s="34"/>
      <c r="M229" s="34">
        <v>0</v>
      </c>
      <c r="N229" s="34"/>
      <c r="O229" s="34">
        <v>590568</v>
      </c>
      <c r="P229" s="34"/>
      <c r="Q229" s="34">
        <v>999692</v>
      </c>
      <c r="R229" s="34"/>
      <c r="S229" s="34">
        <v>1359167</v>
      </c>
      <c r="T229" s="34"/>
      <c r="U229" s="34">
        <v>293539</v>
      </c>
      <c r="V229" s="34"/>
      <c r="W229" s="34">
        <v>0</v>
      </c>
      <c r="X229" s="34"/>
      <c r="Y229" s="34">
        <v>152100</v>
      </c>
      <c r="Z229" s="34"/>
      <c r="AA229" s="34">
        <v>0</v>
      </c>
      <c r="AB229" s="32"/>
      <c r="AC229" s="34">
        <v>0</v>
      </c>
      <c r="AD229" s="34"/>
      <c r="AE229" s="33">
        <f t="shared" si="3"/>
        <v>4297407</v>
      </c>
    </row>
    <row r="230" spans="1:31" ht="12.75" customHeight="1">
      <c r="A230" s="1" t="s">
        <v>232</v>
      </c>
      <c r="C230" s="1" t="s">
        <v>231</v>
      </c>
      <c r="E230" s="34">
        <v>3322</v>
      </c>
      <c r="F230" s="34"/>
      <c r="G230" s="34">
        <v>0</v>
      </c>
      <c r="H230" s="34"/>
      <c r="I230" s="34">
        <v>0</v>
      </c>
      <c r="J230" s="34"/>
      <c r="K230" s="34">
        <v>0</v>
      </c>
      <c r="L230" s="34"/>
      <c r="M230" s="34">
        <v>0</v>
      </c>
      <c r="N230" s="34"/>
      <c r="O230" s="34">
        <v>0</v>
      </c>
      <c r="P230" s="34"/>
      <c r="Q230" s="34">
        <v>17213</v>
      </c>
      <c r="R230" s="34"/>
      <c r="S230" s="34">
        <v>0</v>
      </c>
      <c r="T230" s="34"/>
      <c r="U230" s="34">
        <v>0</v>
      </c>
      <c r="V230" s="34"/>
      <c r="W230" s="34">
        <v>0</v>
      </c>
      <c r="X230" s="34"/>
      <c r="Y230" s="34">
        <v>0</v>
      </c>
      <c r="Z230" s="34"/>
      <c r="AA230" s="34">
        <v>0</v>
      </c>
      <c r="AB230" s="32"/>
      <c r="AC230" s="34">
        <v>0</v>
      </c>
      <c r="AD230" s="34"/>
      <c r="AE230" s="33">
        <f t="shared" si="3"/>
        <v>20535</v>
      </c>
    </row>
    <row r="231" spans="1:31" ht="12.75" customHeight="1">
      <c r="A231" s="1" t="s">
        <v>698</v>
      </c>
      <c r="C231" s="1" t="s">
        <v>225</v>
      </c>
      <c r="E231" s="34">
        <v>14360</v>
      </c>
      <c r="F231" s="34"/>
      <c r="G231" s="34">
        <v>0</v>
      </c>
      <c r="H231" s="34"/>
      <c r="I231" s="34">
        <v>344</v>
      </c>
      <c r="J231" s="34"/>
      <c r="K231" s="34">
        <v>0</v>
      </c>
      <c r="L231" s="34"/>
      <c r="M231" s="34">
        <v>0</v>
      </c>
      <c r="N231" s="34"/>
      <c r="O231" s="34">
        <v>0</v>
      </c>
      <c r="P231" s="34"/>
      <c r="Q231" s="34">
        <v>30701</v>
      </c>
      <c r="R231" s="34"/>
      <c r="S231" s="34">
        <v>10136</v>
      </c>
      <c r="T231" s="34"/>
      <c r="U231" s="34">
        <v>0</v>
      </c>
      <c r="V231" s="34"/>
      <c r="W231" s="34">
        <v>0</v>
      </c>
      <c r="X231" s="34"/>
      <c r="Y231" s="34">
        <v>0</v>
      </c>
      <c r="Z231" s="32"/>
      <c r="AA231" s="34">
        <v>10000</v>
      </c>
      <c r="AB231" s="34"/>
      <c r="AC231" s="34">
        <v>0</v>
      </c>
      <c r="AD231" s="34"/>
      <c r="AE231" s="33">
        <f t="shared" si="3"/>
        <v>65541</v>
      </c>
    </row>
    <row r="232" spans="1:31" ht="12.75" customHeight="1">
      <c r="A232" s="1" t="s">
        <v>233</v>
      </c>
      <c r="C232" s="1" t="s">
        <v>80</v>
      </c>
      <c r="E232" s="34">
        <v>1588</v>
      </c>
      <c r="F232" s="34"/>
      <c r="G232" s="34">
        <v>1210</v>
      </c>
      <c r="H232" s="34"/>
      <c r="I232" s="34">
        <v>0</v>
      </c>
      <c r="J232" s="34"/>
      <c r="K232" s="34">
        <v>0</v>
      </c>
      <c r="L232" s="34"/>
      <c r="M232" s="34">
        <v>0</v>
      </c>
      <c r="N232" s="34"/>
      <c r="O232" s="34">
        <v>0</v>
      </c>
      <c r="P232" s="34"/>
      <c r="Q232" s="34">
        <v>3256</v>
      </c>
      <c r="R232" s="34"/>
      <c r="S232" s="34">
        <v>0</v>
      </c>
      <c r="T232" s="34"/>
      <c r="U232" s="34">
        <v>0</v>
      </c>
      <c r="V232" s="34"/>
      <c r="W232" s="34">
        <v>0</v>
      </c>
      <c r="X232" s="34"/>
      <c r="Y232" s="34">
        <v>0</v>
      </c>
      <c r="Z232" s="34"/>
      <c r="AA232" s="34">
        <v>0</v>
      </c>
      <c r="AB232" s="32"/>
      <c r="AC232" s="34">
        <v>0</v>
      </c>
      <c r="AD232" s="34"/>
      <c r="AE232" s="33">
        <f t="shared" si="3"/>
        <v>6054</v>
      </c>
    </row>
    <row r="233" spans="1:31" ht="12.75" customHeight="1">
      <c r="A233" s="1" t="s">
        <v>636</v>
      </c>
      <c r="C233" s="1" t="s">
        <v>268</v>
      </c>
      <c r="E233" s="34">
        <v>9192</v>
      </c>
      <c r="F233" s="34"/>
      <c r="G233" s="34">
        <v>10110</v>
      </c>
      <c r="H233" s="34"/>
      <c r="I233" s="34">
        <v>4895</v>
      </c>
      <c r="J233" s="34"/>
      <c r="K233" s="34">
        <v>0</v>
      </c>
      <c r="L233" s="34"/>
      <c r="M233" s="34">
        <v>0</v>
      </c>
      <c r="N233" s="34"/>
      <c r="O233" s="34">
        <v>3716</v>
      </c>
      <c r="P233" s="34"/>
      <c r="Q233" s="34">
        <v>34066</v>
      </c>
      <c r="R233" s="34"/>
      <c r="S233" s="34">
        <v>0</v>
      </c>
      <c r="T233" s="34"/>
      <c r="U233" s="34">
        <v>0</v>
      </c>
      <c r="V233" s="34"/>
      <c r="W233" s="34">
        <v>0</v>
      </c>
      <c r="X233" s="34"/>
      <c r="Y233" s="34">
        <v>196</v>
      </c>
      <c r="Z233" s="32"/>
      <c r="AA233" s="34">
        <v>0</v>
      </c>
      <c r="AB233" s="34"/>
      <c r="AC233" s="34">
        <v>0</v>
      </c>
      <c r="AD233" s="34"/>
      <c r="AE233" s="33">
        <f t="shared" si="3"/>
        <v>62175</v>
      </c>
    </row>
    <row r="234" spans="1:31" ht="12.75" customHeight="1">
      <c r="A234" s="1" t="s">
        <v>723</v>
      </c>
      <c r="C234" s="1" t="s">
        <v>118</v>
      </c>
      <c r="E234" s="34">
        <v>45538</v>
      </c>
      <c r="F234" s="34"/>
      <c r="G234" s="34">
        <v>16372</v>
      </c>
      <c r="H234" s="34"/>
      <c r="I234" s="34">
        <v>22272</v>
      </c>
      <c r="J234" s="34"/>
      <c r="K234" s="34">
        <v>565</v>
      </c>
      <c r="L234" s="34"/>
      <c r="M234" s="34">
        <v>0</v>
      </c>
      <c r="N234" s="34"/>
      <c r="O234" s="34">
        <v>64133</v>
      </c>
      <c r="P234" s="34"/>
      <c r="Q234" s="34">
        <v>97417</v>
      </c>
      <c r="R234" s="34"/>
      <c r="S234" s="34">
        <v>27416</v>
      </c>
      <c r="T234" s="34"/>
      <c r="U234" s="34">
        <v>0</v>
      </c>
      <c r="V234" s="34"/>
      <c r="W234" s="34">
        <v>0</v>
      </c>
      <c r="X234" s="34"/>
      <c r="Y234" s="34">
        <v>80000</v>
      </c>
      <c r="Z234" s="32"/>
      <c r="AA234" s="34">
        <v>0</v>
      </c>
      <c r="AB234" s="34"/>
      <c r="AC234" s="34">
        <v>0</v>
      </c>
      <c r="AD234" s="34"/>
      <c r="AE234" s="33">
        <f t="shared" si="3"/>
        <v>353713</v>
      </c>
    </row>
    <row r="235" spans="1:31" ht="12.75" customHeight="1">
      <c r="A235" s="1" t="s">
        <v>567</v>
      </c>
      <c r="C235" s="1" t="s">
        <v>73</v>
      </c>
      <c r="E235" s="34">
        <v>496377</v>
      </c>
      <c r="F235" s="34"/>
      <c r="G235" s="34">
        <v>3097</v>
      </c>
      <c r="H235" s="34"/>
      <c r="I235" s="34">
        <v>0</v>
      </c>
      <c r="J235" s="34"/>
      <c r="K235" s="34">
        <v>699745</v>
      </c>
      <c r="L235" s="34"/>
      <c r="M235" s="34">
        <v>0</v>
      </c>
      <c r="N235" s="34"/>
      <c r="O235" s="34">
        <v>0</v>
      </c>
      <c r="P235" s="34"/>
      <c r="Q235" s="34">
        <v>321931</v>
      </c>
      <c r="R235" s="34"/>
      <c r="S235" s="34">
        <v>338737</v>
      </c>
      <c r="T235" s="34"/>
      <c r="U235" s="34">
        <v>0</v>
      </c>
      <c r="V235" s="34"/>
      <c r="W235" s="34">
        <v>0</v>
      </c>
      <c r="X235" s="34"/>
      <c r="Y235" s="34">
        <v>18500</v>
      </c>
      <c r="Z235" s="32"/>
      <c r="AA235" s="34">
        <v>0</v>
      </c>
      <c r="AB235" s="34"/>
      <c r="AC235" s="34">
        <v>0</v>
      </c>
      <c r="AD235" s="34"/>
      <c r="AE235" s="33">
        <f t="shared" si="3"/>
        <v>1878387</v>
      </c>
    </row>
    <row r="236" spans="1:31" ht="12.75" customHeight="1">
      <c r="A236" s="1" t="s">
        <v>593</v>
      </c>
      <c r="C236" s="1" t="s">
        <v>303</v>
      </c>
      <c r="E236" s="34">
        <v>279739</v>
      </c>
      <c r="F236" s="34"/>
      <c r="G236" s="34">
        <v>46252</v>
      </c>
      <c r="H236" s="34"/>
      <c r="I236" s="34">
        <v>0</v>
      </c>
      <c r="J236" s="34"/>
      <c r="K236" s="34">
        <v>0</v>
      </c>
      <c r="L236" s="34"/>
      <c r="M236" s="34">
        <v>0</v>
      </c>
      <c r="N236" s="34"/>
      <c r="O236" s="34">
        <v>0</v>
      </c>
      <c r="P236" s="34"/>
      <c r="Q236" s="34">
        <v>129941</v>
      </c>
      <c r="R236" s="34"/>
      <c r="S236" s="34">
        <v>61901</v>
      </c>
      <c r="T236" s="34"/>
      <c r="U236" s="34">
        <v>0</v>
      </c>
      <c r="V236" s="34"/>
      <c r="W236" s="34">
        <v>0</v>
      </c>
      <c r="X236" s="34"/>
      <c r="Y236" s="34">
        <v>0</v>
      </c>
      <c r="Z236" s="32"/>
      <c r="AA236" s="34">
        <v>0</v>
      </c>
      <c r="AB236" s="34"/>
      <c r="AC236" s="34">
        <v>0</v>
      </c>
      <c r="AD236" s="34"/>
      <c r="AE236" s="33">
        <f t="shared" si="3"/>
        <v>517833</v>
      </c>
    </row>
    <row r="237" spans="1:31" ht="12.75" customHeight="1">
      <c r="A237" s="1" t="s">
        <v>234</v>
      </c>
      <c r="C237" s="1" t="s">
        <v>149</v>
      </c>
      <c r="E237" s="34">
        <v>1238323</v>
      </c>
      <c r="F237" s="34"/>
      <c r="G237" s="34">
        <v>49798</v>
      </c>
      <c r="H237" s="34"/>
      <c r="I237" s="34">
        <f>2398019</f>
        <v>2398019</v>
      </c>
      <c r="J237" s="34"/>
      <c r="K237" s="34">
        <f>369119+179722</f>
        <v>548841</v>
      </c>
      <c r="L237" s="34"/>
      <c r="M237" s="34">
        <v>0</v>
      </c>
      <c r="N237" s="34"/>
      <c r="O237" s="34">
        <v>113357</v>
      </c>
      <c r="P237" s="34"/>
      <c r="Q237" s="34">
        <v>2372797</v>
      </c>
      <c r="R237" s="34"/>
      <c r="S237" s="34">
        <v>0</v>
      </c>
      <c r="T237" s="34"/>
      <c r="U237" s="34">
        <v>0</v>
      </c>
      <c r="V237" s="34"/>
      <c r="W237" s="34">
        <v>0</v>
      </c>
      <c r="X237" s="34"/>
      <c r="Y237" s="34">
        <v>0</v>
      </c>
      <c r="Z237" s="34"/>
      <c r="AA237" s="34">
        <v>0</v>
      </c>
      <c r="AB237" s="32"/>
      <c r="AC237" s="34">
        <v>0</v>
      </c>
      <c r="AD237" s="34"/>
      <c r="AE237" s="33">
        <f t="shared" si="3"/>
        <v>6721135</v>
      </c>
    </row>
    <row r="238" spans="1:31" ht="12.75" customHeight="1">
      <c r="A238" s="1" t="s">
        <v>235</v>
      </c>
      <c r="C238" s="1" t="s">
        <v>236</v>
      </c>
      <c r="E238" s="34">
        <v>30004</v>
      </c>
      <c r="F238" s="34"/>
      <c r="G238" s="34">
        <v>178</v>
      </c>
      <c r="H238" s="34"/>
      <c r="I238" s="34">
        <v>0</v>
      </c>
      <c r="J238" s="34"/>
      <c r="K238" s="34">
        <v>0</v>
      </c>
      <c r="L238" s="34"/>
      <c r="M238" s="34">
        <v>0</v>
      </c>
      <c r="N238" s="34"/>
      <c r="O238" s="34">
        <v>0</v>
      </c>
      <c r="P238" s="34"/>
      <c r="Q238" s="34">
        <v>32538</v>
      </c>
      <c r="R238" s="34"/>
      <c r="S238" s="34">
        <v>0</v>
      </c>
      <c r="T238" s="34"/>
      <c r="U238" s="34">
        <v>0</v>
      </c>
      <c r="V238" s="34"/>
      <c r="W238" s="34">
        <v>0</v>
      </c>
      <c r="X238" s="34"/>
      <c r="Y238" s="34">
        <v>200</v>
      </c>
      <c r="Z238" s="34"/>
      <c r="AA238" s="34">
        <v>0</v>
      </c>
      <c r="AB238" s="32"/>
      <c r="AC238" s="34">
        <v>0</v>
      </c>
      <c r="AD238" s="34"/>
      <c r="AE238" s="33">
        <f t="shared" si="3"/>
        <v>62920</v>
      </c>
    </row>
    <row r="239" spans="1:31" ht="12.75" customHeight="1">
      <c r="A239" s="1" t="s">
        <v>475</v>
      </c>
      <c r="C239" s="1" t="s">
        <v>246</v>
      </c>
      <c r="E239" s="34">
        <v>41977</v>
      </c>
      <c r="F239" s="34"/>
      <c r="G239" s="34">
        <v>491</v>
      </c>
      <c r="H239" s="34"/>
      <c r="I239" s="34">
        <v>0</v>
      </c>
      <c r="J239" s="34"/>
      <c r="K239" s="34">
        <v>50</v>
      </c>
      <c r="L239" s="34"/>
      <c r="M239" s="34">
        <v>0</v>
      </c>
      <c r="N239" s="34"/>
      <c r="O239" s="34">
        <v>0</v>
      </c>
      <c r="P239" s="34"/>
      <c r="Q239" s="34">
        <v>27720</v>
      </c>
      <c r="R239" s="34"/>
      <c r="S239" s="34">
        <v>0</v>
      </c>
      <c r="T239" s="34"/>
      <c r="U239" s="34">
        <v>0</v>
      </c>
      <c r="V239" s="34"/>
      <c r="W239" s="34">
        <v>0</v>
      </c>
      <c r="X239" s="34"/>
      <c r="Y239" s="34">
        <v>0</v>
      </c>
      <c r="Z239" s="32"/>
      <c r="AA239" s="34">
        <v>0</v>
      </c>
      <c r="AB239" s="34"/>
      <c r="AC239" s="34">
        <v>0</v>
      </c>
      <c r="AD239" s="34"/>
      <c r="AE239" s="33">
        <f t="shared" si="3"/>
        <v>70238</v>
      </c>
    </row>
    <row r="240" spans="1:31" ht="12.75" customHeight="1">
      <c r="A240" s="1" t="s">
        <v>609</v>
      </c>
      <c r="C240" s="1" t="s">
        <v>164</v>
      </c>
      <c r="E240" s="34">
        <v>167272</v>
      </c>
      <c r="F240" s="34"/>
      <c r="G240" s="34">
        <v>0</v>
      </c>
      <c r="H240" s="34"/>
      <c r="I240" s="34">
        <v>0</v>
      </c>
      <c r="J240" s="34"/>
      <c r="K240" s="34">
        <v>0</v>
      </c>
      <c r="L240" s="34"/>
      <c r="M240" s="34">
        <v>0</v>
      </c>
      <c r="N240" s="34"/>
      <c r="O240" s="34">
        <v>0</v>
      </c>
      <c r="P240" s="34"/>
      <c r="Q240" s="34">
        <v>55406</v>
      </c>
      <c r="R240" s="34"/>
      <c r="S240" s="34">
        <v>0</v>
      </c>
      <c r="T240" s="34"/>
      <c r="U240" s="34">
        <v>0</v>
      </c>
      <c r="V240" s="34"/>
      <c r="W240" s="34">
        <v>0</v>
      </c>
      <c r="X240" s="34"/>
      <c r="Y240" s="34">
        <v>810</v>
      </c>
      <c r="Z240" s="32"/>
      <c r="AA240" s="34">
        <v>0</v>
      </c>
      <c r="AB240" s="34"/>
      <c r="AC240" s="34">
        <v>121</v>
      </c>
      <c r="AD240" s="34"/>
      <c r="AE240" s="33">
        <f t="shared" si="3"/>
        <v>223609</v>
      </c>
    </row>
    <row r="241" spans="1:31" ht="12.75" customHeight="1">
      <c r="A241" s="1" t="s">
        <v>238</v>
      </c>
      <c r="C241" s="1" t="s">
        <v>239</v>
      </c>
      <c r="E241" s="34">
        <v>33278</v>
      </c>
      <c r="F241" s="34"/>
      <c r="G241" s="34">
        <v>3654</v>
      </c>
      <c r="H241" s="34"/>
      <c r="I241" s="34">
        <v>108</v>
      </c>
      <c r="J241" s="34"/>
      <c r="K241" s="34">
        <v>0</v>
      </c>
      <c r="L241" s="34"/>
      <c r="M241" s="34">
        <v>905</v>
      </c>
      <c r="N241" s="34"/>
      <c r="O241" s="34">
        <v>21274</v>
      </c>
      <c r="P241" s="34"/>
      <c r="Q241" s="34">
        <v>89497</v>
      </c>
      <c r="R241" s="34"/>
      <c r="S241" s="34">
        <v>0</v>
      </c>
      <c r="T241" s="34"/>
      <c r="U241" s="34">
        <v>0</v>
      </c>
      <c r="V241" s="34"/>
      <c r="W241" s="34">
        <v>0</v>
      </c>
      <c r="X241" s="34"/>
      <c r="Y241" s="34">
        <v>0</v>
      </c>
      <c r="Z241" s="34"/>
      <c r="AA241" s="34">
        <v>0</v>
      </c>
      <c r="AB241" s="32"/>
      <c r="AC241" s="34">
        <v>0</v>
      </c>
      <c r="AD241" s="34"/>
      <c r="AE241" s="33">
        <f t="shared" si="3"/>
        <v>148716</v>
      </c>
    </row>
    <row r="242" spans="1:31" ht="12.75" customHeight="1">
      <c r="A242" s="1" t="s">
        <v>237</v>
      </c>
      <c r="C242" s="1" t="s">
        <v>231</v>
      </c>
      <c r="E242" s="34">
        <v>15918</v>
      </c>
      <c r="F242" s="34"/>
      <c r="G242" s="34">
        <v>2017</v>
      </c>
      <c r="H242" s="34"/>
      <c r="I242" s="34">
        <v>0</v>
      </c>
      <c r="J242" s="34"/>
      <c r="K242" s="34">
        <v>0</v>
      </c>
      <c r="L242" s="34"/>
      <c r="M242" s="34">
        <v>7263</v>
      </c>
      <c r="N242" s="34"/>
      <c r="O242" s="34">
        <v>0</v>
      </c>
      <c r="P242" s="34"/>
      <c r="Q242" s="34">
        <v>49813</v>
      </c>
      <c r="R242" s="34"/>
      <c r="S242" s="34">
        <v>0</v>
      </c>
      <c r="T242" s="34"/>
      <c r="U242" s="34">
        <v>0</v>
      </c>
      <c r="V242" s="34"/>
      <c r="W242" s="34">
        <v>0</v>
      </c>
      <c r="X242" s="34"/>
      <c r="Y242" s="34">
        <v>10122</v>
      </c>
      <c r="Z242" s="34"/>
      <c r="AA242" s="34">
        <v>0</v>
      </c>
      <c r="AB242" s="32"/>
      <c r="AC242" s="34">
        <v>0</v>
      </c>
      <c r="AD242" s="34"/>
      <c r="AE242" s="33">
        <f t="shared" si="3"/>
        <v>85133</v>
      </c>
    </row>
    <row r="243" spans="1:31" ht="12.75" customHeight="1">
      <c r="A243" s="1" t="s">
        <v>504</v>
      </c>
      <c r="C243" s="1" t="s">
        <v>414</v>
      </c>
      <c r="E243" s="34">
        <v>1434</v>
      </c>
      <c r="F243" s="34"/>
      <c r="G243" s="34">
        <v>1054</v>
      </c>
      <c r="H243" s="34"/>
      <c r="I243" s="34">
        <v>3451</v>
      </c>
      <c r="J243" s="34"/>
      <c r="K243" s="34">
        <v>0</v>
      </c>
      <c r="L243" s="34"/>
      <c r="M243" s="34">
        <v>0</v>
      </c>
      <c r="N243" s="34"/>
      <c r="O243" s="34">
        <v>263</v>
      </c>
      <c r="P243" s="34"/>
      <c r="Q243" s="34">
        <v>32255</v>
      </c>
      <c r="R243" s="34"/>
      <c r="S243" s="34">
        <v>6127</v>
      </c>
      <c r="T243" s="34"/>
      <c r="U243" s="34">
        <v>0</v>
      </c>
      <c r="V243" s="34"/>
      <c r="W243" s="34">
        <v>0</v>
      </c>
      <c r="X243" s="34"/>
      <c r="Y243" s="34">
        <v>6000</v>
      </c>
      <c r="Z243" s="32"/>
      <c r="AA243" s="34">
        <v>11335</v>
      </c>
      <c r="AB243" s="34"/>
      <c r="AC243" s="34">
        <v>0</v>
      </c>
      <c r="AD243" s="34"/>
      <c r="AE243" s="33">
        <f t="shared" si="3"/>
        <v>61919</v>
      </c>
    </row>
    <row r="244" spans="1:31" ht="12.75" customHeight="1">
      <c r="A244" s="1" t="s">
        <v>627</v>
      </c>
      <c r="C244" s="1" t="s">
        <v>250</v>
      </c>
      <c r="E244" s="34">
        <v>26</v>
      </c>
      <c r="F244" s="34"/>
      <c r="G244" s="34">
        <v>237</v>
      </c>
      <c r="H244" s="34"/>
      <c r="I244" s="34">
        <v>43</v>
      </c>
      <c r="J244" s="34"/>
      <c r="K244" s="34">
        <v>0</v>
      </c>
      <c r="L244" s="34"/>
      <c r="M244" s="34">
        <v>0</v>
      </c>
      <c r="N244" s="34"/>
      <c r="O244" s="34">
        <v>0</v>
      </c>
      <c r="P244" s="34"/>
      <c r="Q244" s="34">
        <v>32281</v>
      </c>
      <c r="R244" s="34"/>
      <c r="S244" s="34">
        <v>0</v>
      </c>
      <c r="T244" s="34"/>
      <c r="U244" s="34">
        <v>0</v>
      </c>
      <c r="V244" s="34"/>
      <c r="W244" s="34">
        <v>0</v>
      </c>
      <c r="X244" s="34"/>
      <c r="Y244" s="34">
        <v>0</v>
      </c>
      <c r="Z244" s="32"/>
      <c r="AA244" s="34">
        <v>0</v>
      </c>
      <c r="AB244" s="34"/>
      <c r="AC244" s="34">
        <v>0</v>
      </c>
      <c r="AD244" s="34"/>
      <c r="AE244" s="33">
        <f t="shared" si="3"/>
        <v>32587</v>
      </c>
    </row>
    <row r="245" spans="1:31" ht="12.75" customHeight="1">
      <c r="A245" s="1" t="s">
        <v>779</v>
      </c>
      <c r="C245" s="1" t="s">
        <v>151</v>
      </c>
      <c r="E245" s="34">
        <v>4279</v>
      </c>
      <c r="F245" s="34"/>
      <c r="G245" s="34">
        <v>1473</v>
      </c>
      <c r="H245" s="34"/>
      <c r="I245" s="34">
        <v>6761</v>
      </c>
      <c r="J245" s="34"/>
      <c r="K245" s="34">
        <v>0</v>
      </c>
      <c r="L245" s="34"/>
      <c r="M245" s="34">
        <v>1059</v>
      </c>
      <c r="N245" s="34"/>
      <c r="O245" s="34">
        <v>0</v>
      </c>
      <c r="P245" s="34"/>
      <c r="Q245" s="34">
        <v>21456</v>
      </c>
      <c r="R245" s="34"/>
      <c r="S245" s="34">
        <v>0</v>
      </c>
      <c r="T245" s="34"/>
      <c r="U245" s="34">
        <v>0</v>
      </c>
      <c r="V245" s="34"/>
      <c r="W245" s="34">
        <v>0</v>
      </c>
      <c r="X245" s="34"/>
      <c r="Y245" s="34">
        <v>0</v>
      </c>
      <c r="Z245" s="32"/>
      <c r="AA245" s="34">
        <v>0</v>
      </c>
      <c r="AB245" s="34"/>
      <c r="AC245" s="34">
        <v>0</v>
      </c>
      <c r="AD245" s="34"/>
      <c r="AE245" s="33">
        <f t="shared" si="3"/>
        <v>35028</v>
      </c>
    </row>
    <row r="246" spans="1:31" ht="12.75" customHeight="1">
      <c r="A246" s="1" t="s">
        <v>542</v>
      </c>
      <c r="C246" s="1" t="s">
        <v>149</v>
      </c>
      <c r="E246" s="34">
        <v>32500</v>
      </c>
      <c r="F246" s="34"/>
      <c r="G246" s="34">
        <v>0</v>
      </c>
      <c r="H246" s="34"/>
      <c r="I246" s="34">
        <v>311</v>
      </c>
      <c r="J246" s="34"/>
      <c r="K246" s="34">
        <v>0</v>
      </c>
      <c r="L246" s="34"/>
      <c r="M246" s="34">
        <v>0</v>
      </c>
      <c r="N246" s="34"/>
      <c r="O246" s="34">
        <v>0</v>
      </c>
      <c r="P246" s="34"/>
      <c r="Q246" s="34">
        <v>99639</v>
      </c>
      <c r="R246" s="34"/>
      <c r="S246" s="34">
        <v>13500</v>
      </c>
      <c r="T246" s="34"/>
      <c r="U246" s="34">
        <v>0</v>
      </c>
      <c r="V246" s="34"/>
      <c r="W246" s="34">
        <v>101674</v>
      </c>
      <c r="X246" s="34"/>
      <c r="Y246" s="34">
        <v>0</v>
      </c>
      <c r="Z246" s="32"/>
      <c r="AA246" s="34">
        <v>0</v>
      </c>
      <c r="AB246" s="34"/>
      <c r="AC246" s="34">
        <v>110</v>
      </c>
      <c r="AD246" s="34"/>
      <c r="AE246" s="33">
        <f t="shared" si="3"/>
        <v>247734</v>
      </c>
    </row>
    <row r="247" spans="1:31" ht="12.75" customHeight="1">
      <c r="A247" s="1" t="s">
        <v>579</v>
      </c>
      <c r="C247" s="1" t="s">
        <v>133</v>
      </c>
      <c r="E247" s="34">
        <v>6843</v>
      </c>
      <c r="F247" s="34"/>
      <c r="G247" s="34">
        <v>322</v>
      </c>
      <c r="H247" s="34"/>
      <c r="I247" s="34">
        <v>4134</v>
      </c>
      <c r="J247" s="34"/>
      <c r="K247" s="34">
        <v>0</v>
      </c>
      <c r="L247" s="34"/>
      <c r="M247" s="34">
        <v>0</v>
      </c>
      <c r="N247" s="34"/>
      <c r="O247" s="34">
        <v>5823</v>
      </c>
      <c r="P247" s="34"/>
      <c r="Q247" s="34">
        <v>17462</v>
      </c>
      <c r="R247" s="34"/>
      <c r="S247" s="34">
        <v>0</v>
      </c>
      <c r="T247" s="34"/>
      <c r="U247" s="34">
        <v>0</v>
      </c>
      <c r="V247" s="34"/>
      <c r="W247" s="34">
        <v>0</v>
      </c>
      <c r="X247" s="34"/>
      <c r="Y247" s="34">
        <v>0</v>
      </c>
      <c r="Z247" s="32"/>
      <c r="AA247" s="34">
        <v>0</v>
      </c>
      <c r="AB247" s="34"/>
      <c r="AC247" s="34">
        <v>696</v>
      </c>
      <c r="AD247" s="34"/>
      <c r="AE247" s="33">
        <f t="shared" si="3"/>
        <v>35280</v>
      </c>
    </row>
    <row r="248" spans="1:31" ht="12.75" customHeight="1">
      <c r="A248" s="1" t="s">
        <v>449</v>
      </c>
      <c r="C248" s="1" t="s">
        <v>447</v>
      </c>
      <c r="E248" s="34">
        <v>3925</v>
      </c>
      <c r="F248" s="34"/>
      <c r="G248" s="34">
        <v>200</v>
      </c>
      <c r="H248" s="34"/>
      <c r="I248" s="34">
        <v>909</v>
      </c>
      <c r="J248" s="34"/>
      <c r="K248" s="34">
        <v>0</v>
      </c>
      <c r="L248" s="34"/>
      <c r="M248" s="34">
        <v>270</v>
      </c>
      <c r="N248" s="34"/>
      <c r="O248" s="34">
        <v>11665</v>
      </c>
      <c r="P248" s="34"/>
      <c r="Q248" s="34">
        <v>35573</v>
      </c>
      <c r="R248" s="34"/>
      <c r="S248" s="34">
        <v>18061</v>
      </c>
      <c r="T248" s="34"/>
      <c r="U248" s="34">
        <v>0</v>
      </c>
      <c r="V248" s="34"/>
      <c r="W248" s="34">
        <v>0</v>
      </c>
      <c r="X248" s="34"/>
      <c r="Y248" s="34">
        <v>0</v>
      </c>
      <c r="Z248" s="32"/>
      <c r="AA248" s="34">
        <v>0</v>
      </c>
      <c r="AB248" s="34"/>
      <c r="AC248" s="34">
        <v>0</v>
      </c>
      <c r="AD248" s="34"/>
      <c r="AE248" s="33">
        <f t="shared" si="3"/>
        <v>70603</v>
      </c>
    </row>
    <row r="249" spans="1:31" ht="12.75" customHeight="1">
      <c r="A249" s="1" t="s">
        <v>240</v>
      </c>
      <c r="C249" s="1" t="s">
        <v>231</v>
      </c>
      <c r="E249" s="34">
        <v>28913</v>
      </c>
      <c r="F249" s="34"/>
      <c r="G249" s="34">
        <v>694</v>
      </c>
      <c r="H249" s="34"/>
      <c r="I249" s="34">
        <v>0</v>
      </c>
      <c r="J249" s="34"/>
      <c r="K249" s="34">
        <v>0</v>
      </c>
      <c r="L249" s="34"/>
      <c r="M249" s="34">
        <v>0</v>
      </c>
      <c r="N249" s="34"/>
      <c r="O249" s="34">
        <v>0</v>
      </c>
      <c r="P249" s="34"/>
      <c r="Q249" s="34">
        <v>37000</v>
      </c>
      <c r="R249" s="34"/>
      <c r="S249" s="34">
        <v>0</v>
      </c>
      <c r="T249" s="34"/>
      <c r="U249" s="34">
        <v>0</v>
      </c>
      <c r="V249" s="34"/>
      <c r="W249" s="34">
        <v>0</v>
      </c>
      <c r="X249" s="34"/>
      <c r="Y249" s="34">
        <v>0</v>
      </c>
      <c r="Z249" s="34"/>
      <c r="AA249" s="34">
        <v>0</v>
      </c>
      <c r="AB249" s="32"/>
      <c r="AC249" s="34">
        <v>0</v>
      </c>
      <c r="AD249" s="34"/>
      <c r="AE249" s="33">
        <f t="shared" si="3"/>
        <v>66607</v>
      </c>
    </row>
    <row r="250" spans="1:31" ht="12.75" customHeight="1">
      <c r="A250" s="1" t="s">
        <v>241</v>
      </c>
      <c r="C250" s="1" t="s">
        <v>106</v>
      </c>
      <c r="E250" s="34">
        <v>510600</v>
      </c>
      <c r="F250" s="34"/>
      <c r="G250" s="34">
        <v>14935</v>
      </c>
      <c r="H250" s="34"/>
      <c r="I250" s="34">
        <v>8726</v>
      </c>
      <c r="J250" s="34"/>
      <c r="K250" s="34">
        <v>4928</v>
      </c>
      <c r="L250" s="34"/>
      <c r="M250" s="34">
        <v>1750</v>
      </c>
      <c r="N250" s="34"/>
      <c r="O250" s="34">
        <v>70974</v>
      </c>
      <c r="P250" s="34"/>
      <c r="Q250" s="34">
        <v>191348</v>
      </c>
      <c r="R250" s="34"/>
      <c r="S250" s="34">
        <v>0</v>
      </c>
      <c r="T250" s="34"/>
      <c r="U250" s="34">
        <v>0</v>
      </c>
      <c r="V250" s="34"/>
      <c r="W250" s="34">
        <v>0</v>
      </c>
      <c r="X250" s="34"/>
      <c r="Y250" s="34">
        <v>68000</v>
      </c>
      <c r="Z250" s="34"/>
      <c r="AA250" s="34">
        <v>0</v>
      </c>
      <c r="AB250" s="32"/>
      <c r="AC250" s="34">
        <v>1165</v>
      </c>
      <c r="AD250" s="34"/>
      <c r="AE250" s="33">
        <f t="shared" si="3"/>
        <v>872426</v>
      </c>
    </row>
    <row r="251" spans="1:31" ht="12.75" customHeight="1">
      <c r="A251" s="1" t="s">
        <v>753</v>
      </c>
      <c r="C251" s="1" t="s">
        <v>172</v>
      </c>
      <c r="E251" s="34">
        <v>80458</v>
      </c>
      <c r="F251" s="34"/>
      <c r="G251" s="34">
        <v>180</v>
      </c>
      <c r="H251" s="34"/>
      <c r="I251" s="34">
        <v>0</v>
      </c>
      <c r="J251" s="34"/>
      <c r="K251" s="34">
        <v>2000</v>
      </c>
      <c r="L251" s="34"/>
      <c r="M251" s="34">
        <v>30068</v>
      </c>
      <c r="N251" s="34"/>
      <c r="O251" s="34">
        <v>10348</v>
      </c>
      <c r="P251" s="34"/>
      <c r="Q251" s="34">
        <v>79662</v>
      </c>
      <c r="R251" s="34"/>
      <c r="S251" s="34">
        <v>0</v>
      </c>
      <c r="T251" s="34"/>
      <c r="U251" s="34">
        <v>0</v>
      </c>
      <c r="V251" s="34"/>
      <c r="W251" s="34">
        <v>0</v>
      </c>
      <c r="X251" s="34"/>
      <c r="Y251" s="34">
        <v>30767</v>
      </c>
      <c r="Z251" s="32"/>
      <c r="AA251" s="34">
        <v>0</v>
      </c>
      <c r="AB251" s="34"/>
      <c r="AC251" s="34">
        <v>0</v>
      </c>
      <c r="AD251" s="34"/>
      <c r="AE251" s="33">
        <f t="shared" si="3"/>
        <v>233483</v>
      </c>
    </row>
    <row r="252" spans="1:31" ht="12.75" customHeight="1">
      <c r="A252" s="1" t="s">
        <v>771</v>
      </c>
      <c r="C252" s="1" t="s">
        <v>94</v>
      </c>
      <c r="E252" s="34">
        <v>96184</v>
      </c>
      <c r="F252" s="34"/>
      <c r="G252" s="34">
        <v>1320</v>
      </c>
      <c r="H252" s="34"/>
      <c r="I252" s="34">
        <v>35579</v>
      </c>
      <c r="J252" s="34"/>
      <c r="K252" s="34">
        <v>3898</v>
      </c>
      <c r="L252" s="34"/>
      <c r="M252" s="34">
        <v>5896</v>
      </c>
      <c r="N252" s="34"/>
      <c r="O252" s="34">
        <v>0</v>
      </c>
      <c r="P252" s="34"/>
      <c r="Q252" s="34">
        <v>60990</v>
      </c>
      <c r="R252" s="34"/>
      <c r="S252" s="34">
        <v>0</v>
      </c>
      <c r="T252" s="34"/>
      <c r="U252" s="34">
        <v>13226</v>
      </c>
      <c r="V252" s="34"/>
      <c r="W252" s="34">
        <v>1261</v>
      </c>
      <c r="X252" s="34"/>
      <c r="Y252" s="34">
        <v>6500</v>
      </c>
      <c r="Z252" s="32"/>
      <c r="AA252" s="34">
        <v>0</v>
      </c>
      <c r="AB252" s="34"/>
      <c r="AC252" s="34">
        <v>0</v>
      </c>
      <c r="AD252" s="34"/>
      <c r="AE252" s="33">
        <f t="shared" si="3"/>
        <v>224854</v>
      </c>
    </row>
    <row r="253" spans="1:31" ht="12.75" customHeight="1">
      <c r="A253" s="1" t="s">
        <v>679</v>
      </c>
      <c r="C253" s="1" t="s">
        <v>82</v>
      </c>
      <c r="E253" s="34">
        <v>1495</v>
      </c>
      <c r="F253" s="34"/>
      <c r="G253" s="34">
        <v>73</v>
      </c>
      <c r="H253" s="34"/>
      <c r="I253" s="34">
        <v>803</v>
      </c>
      <c r="J253" s="34"/>
      <c r="K253" s="34">
        <v>0</v>
      </c>
      <c r="L253" s="34"/>
      <c r="M253" s="34">
        <v>0</v>
      </c>
      <c r="N253" s="34"/>
      <c r="O253" s="34">
        <v>0</v>
      </c>
      <c r="P253" s="34"/>
      <c r="Q253" s="34">
        <v>25439</v>
      </c>
      <c r="R253" s="34"/>
      <c r="S253" s="34">
        <v>0</v>
      </c>
      <c r="T253" s="34"/>
      <c r="U253" s="34">
        <v>0</v>
      </c>
      <c r="V253" s="34"/>
      <c r="W253" s="34">
        <v>0</v>
      </c>
      <c r="X253" s="34"/>
      <c r="Y253" s="34">
        <v>0</v>
      </c>
      <c r="Z253" s="32"/>
      <c r="AA253" s="34">
        <v>0</v>
      </c>
      <c r="AB253" s="34"/>
      <c r="AC253" s="34">
        <v>0</v>
      </c>
      <c r="AD253" s="34"/>
      <c r="AE253" s="33">
        <f t="shared" si="3"/>
        <v>27810</v>
      </c>
    </row>
    <row r="254" spans="1:31" ht="12.75" customHeight="1">
      <c r="A254" s="1" t="s">
        <v>452</v>
      </c>
      <c r="C254" s="1" t="s">
        <v>453</v>
      </c>
      <c r="E254" s="34">
        <v>8640</v>
      </c>
      <c r="F254" s="34"/>
      <c r="G254" s="34">
        <v>0</v>
      </c>
      <c r="H254" s="34"/>
      <c r="I254" s="34">
        <v>0</v>
      </c>
      <c r="J254" s="34"/>
      <c r="K254" s="34">
        <v>400</v>
      </c>
      <c r="L254" s="34"/>
      <c r="M254" s="34">
        <v>0</v>
      </c>
      <c r="N254" s="34"/>
      <c r="O254" s="34">
        <v>0</v>
      </c>
      <c r="P254" s="34"/>
      <c r="Q254" s="34">
        <v>56338</v>
      </c>
      <c r="R254" s="34"/>
      <c r="S254" s="34">
        <v>0</v>
      </c>
      <c r="T254" s="34"/>
      <c r="U254" s="34">
        <v>0</v>
      </c>
      <c r="V254" s="34"/>
      <c r="W254" s="34">
        <v>0</v>
      </c>
      <c r="X254" s="34"/>
      <c r="Y254" s="34">
        <v>58</v>
      </c>
      <c r="Z254" s="32"/>
      <c r="AA254" s="34">
        <v>0</v>
      </c>
      <c r="AB254" s="34"/>
      <c r="AC254" s="34">
        <v>0</v>
      </c>
      <c r="AD254" s="34"/>
      <c r="AE254" s="33">
        <f t="shared" si="3"/>
        <v>65436</v>
      </c>
    </row>
    <row r="255" spans="1:31" ht="12.75" customHeight="1">
      <c r="A255" s="1" t="s">
        <v>242</v>
      </c>
      <c r="C255" s="1" t="s">
        <v>231</v>
      </c>
      <c r="E255" s="34">
        <v>24257</v>
      </c>
      <c r="F255" s="34"/>
      <c r="G255" s="34">
        <v>0</v>
      </c>
      <c r="H255" s="34"/>
      <c r="I255" s="34">
        <v>0</v>
      </c>
      <c r="J255" s="34"/>
      <c r="K255" s="34">
        <v>0</v>
      </c>
      <c r="L255" s="34"/>
      <c r="M255" s="34">
        <v>0</v>
      </c>
      <c r="N255" s="34"/>
      <c r="O255" s="34">
        <v>0</v>
      </c>
      <c r="P255" s="34"/>
      <c r="Q255" s="34">
        <v>341484</v>
      </c>
      <c r="R255" s="34"/>
      <c r="S255" s="34">
        <v>302180</v>
      </c>
      <c r="T255" s="34"/>
      <c r="U255" s="34">
        <v>50000</v>
      </c>
      <c r="V255" s="34"/>
      <c r="W255" s="34">
        <v>64912</v>
      </c>
      <c r="X255" s="34"/>
      <c r="Y255" s="34">
        <v>923083</v>
      </c>
      <c r="Z255" s="34"/>
      <c r="AA255" s="34">
        <v>0</v>
      </c>
      <c r="AB255" s="32"/>
      <c r="AC255" s="34">
        <v>0</v>
      </c>
      <c r="AD255" s="34"/>
      <c r="AE255" s="33">
        <f t="shared" si="3"/>
        <v>1705916</v>
      </c>
    </row>
    <row r="256" spans="1:31" ht="12.75" customHeight="1">
      <c r="A256" s="1" t="s">
        <v>718</v>
      </c>
      <c r="C256" s="1" t="s">
        <v>142</v>
      </c>
      <c r="E256" s="34">
        <v>5941</v>
      </c>
      <c r="F256" s="34"/>
      <c r="G256" s="34">
        <v>123</v>
      </c>
      <c r="H256" s="34"/>
      <c r="I256" s="34">
        <v>9833</v>
      </c>
      <c r="J256" s="34"/>
      <c r="K256" s="34">
        <v>839</v>
      </c>
      <c r="L256" s="34"/>
      <c r="M256" s="34">
        <v>11395</v>
      </c>
      <c r="N256" s="34"/>
      <c r="O256" s="34">
        <v>0</v>
      </c>
      <c r="P256" s="34"/>
      <c r="Q256" s="34">
        <v>22651</v>
      </c>
      <c r="R256" s="34"/>
      <c r="S256" s="34">
        <v>0</v>
      </c>
      <c r="T256" s="34"/>
      <c r="U256" s="34">
        <v>0</v>
      </c>
      <c r="V256" s="34"/>
      <c r="W256" s="34">
        <v>0</v>
      </c>
      <c r="X256" s="34"/>
      <c r="Y256" s="34">
        <v>0</v>
      </c>
      <c r="Z256" s="32"/>
      <c r="AA256" s="34">
        <v>0</v>
      </c>
      <c r="AB256" s="34"/>
      <c r="AC256" s="34">
        <v>0</v>
      </c>
      <c r="AD256" s="34"/>
      <c r="AE256" s="33">
        <f t="shared" si="3"/>
        <v>50782</v>
      </c>
    </row>
    <row r="257" spans="1:31" ht="12.75" customHeight="1">
      <c r="A257" s="1" t="s">
        <v>243</v>
      </c>
      <c r="C257" s="1" t="s">
        <v>244</v>
      </c>
      <c r="E257" s="34">
        <f>565441</f>
        <v>565441</v>
      </c>
      <c r="F257" s="34"/>
      <c r="G257" s="34">
        <v>13415</v>
      </c>
      <c r="H257" s="34"/>
      <c r="I257" s="34">
        <v>117632</v>
      </c>
      <c r="J257" s="34"/>
      <c r="K257" s="34">
        <f>15696</f>
        <v>15696</v>
      </c>
      <c r="L257" s="34"/>
      <c r="M257" s="34">
        <v>0</v>
      </c>
      <c r="N257" s="34"/>
      <c r="O257" s="34">
        <v>0</v>
      </c>
      <c r="P257" s="34"/>
      <c r="Q257" s="34">
        <f>299998</f>
        <v>299998</v>
      </c>
      <c r="R257" s="34"/>
      <c r="S257" s="34">
        <f>66066</f>
        <v>66066</v>
      </c>
      <c r="T257" s="34"/>
      <c r="U257" s="34">
        <v>0</v>
      </c>
      <c r="V257" s="34"/>
      <c r="W257" s="34">
        <v>0</v>
      </c>
      <c r="X257" s="34"/>
      <c r="Y257" s="34">
        <v>429723</v>
      </c>
      <c r="Z257" s="34"/>
      <c r="AA257" s="34">
        <v>0</v>
      </c>
      <c r="AB257" s="32"/>
      <c r="AC257" s="34">
        <v>48812</v>
      </c>
      <c r="AD257" s="34"/>
      <c r="AE257" s="33">
        <f t="shared" si="3"/>
        <v>1556783</v>
      </c>
    </row>
    <row r="258" spans="1:31" ht="12.75" customHeight="1">
      <c r="A258" s="1" t="s">
        <v>245</v>
      </c>
      <c r="C258" s="1" t="s">
        <v>246</v>
      </c>
      <c r="E258" s="34">
        <v>0</v>
      </c>
      <c r="F258" s="34"/>
      <c r="G258" s="34">
        <v>0</v>
      </c>
      <c r="H258" s="34"/>
      <c r="I258" s="34">
        <v>0</v>
      </c>
      <c r="J258" s="34"/>
      <c r="K258" s="34">
        <v>0</v>
      </c>
      <c r="L258" s="34"/>
      <c r="M258" s="34">
        <v>0</v>
      </c>
      <c r="N258" s="34"/>
      <c r="O258" s="34">
        <v>0</v>
      </c>
      <c r="P258" s="34"/>
      <c r="Q258" s="34">
        <v>44241</v>
      </c>
      <c r="R258" s="34"/>
      <c r="S258" s="34">
        <v>0</v>
      </c>
      <c r="T258" s="34"/>
      <c r="U258" s="34">
        <v>0</v>
      </c>
      <c r="V258" s="34"/>
      <c r="W258" s="34">
        <v>0</v>
      </c>
      <c r="X258" s="34"/>
      <c r="Y258" s="34">
        <v>0</v>
      </c>
      <c r="Z258" s="34"/>
      <c r="AA258" s="34">
        <v>0</v>
      </c>
      <c r="AB258" s="32"/>
      <c r="AC258" s="34">
        <v>40657</v>
      </c>
      <c r="AD258" s="34"/>
      <c r="AE258" s="33">
        <f t="shared" si="3"/>
        <v>84898</v>
      </c>
    </row>
    <row r="259" spans="5:31" ht="12.75" customHeight="1"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2"/>
      <c r="AA259" s="34"/>
      <c r="AB259" s="34"/>
      <c r="AD259" s="34"/>
      <c r="AE259" s="34" t="s">
        <v>785</v>
      </c>
    </row>
    <row r="260" spans="1:31" s="36" customFormat="1" ht="12.75" customHeight="1">
      <c r="A260" s="36" t="s">
        <v>247</v>
      </c>
      <c r="C260" s="36" t="s">
        <v>247</v>
      </c>
      <c r="E260" s="39">
        <v>3609</v>
      </c>
      <c r="F260" s="39"/>
      <c r="G260" s="39">
        <v>368</v>
      </c>
      <c r="H260" s="39"/>
      <c r="I260" s="39">
        <v>2590</v>
      </c>
      <c r="J260" s="39"/>
      <c r="K260" s="39">
        <v>0</v>
      </c>
      <c r="L260" s="39"/>
      <c r="M260" s="39">
        <v>3122</v>
      </c>
      <c r="N260" s="39"/>
      <c r="O260" s="39">
        <v>0</v>
      </c>
      <c r="P260" s="39"/>
      <c r="Q260" s="39">
        <v>14823</v>
      </c>
      <c r="R260" s="39"/>
      <c r="S260" s="39">
        <v>0</v>
      </c>
      <c r="T260" s="39"/>
      <c r="U260" s="39">
        <v>4450</v>
      </c>
      <c r="V260" s="39"/>
      <c r="W260" s="39">
        <v>0</v>
      </c>
      <c r="X260" s="39"/>
      <c r="Y260" s="39">
        <v>0</v>
      </c>
      <c r="Z260" s="39"/>
      <c r="AA260" s="39">
        <v>0</v>
      </c>
      <c r="AB260" s="38"/>
      <c r="AC260" s="39">
        <v>0</v>
      </c>
      <c r="AD260" s="39"/>
      <c r="AE260" s="40">
        <f t="shared" si="3"/>
        <v>28962</v>
      </c>
    </row>
    <row r="261" spans="1:31" s="16" customFormat="1" ht="12.75" customHeight="1">
      <c r="A261" s="16" t="s">
        <v>730</v>
      </c>
      <c r="C261" s="16" t="s">
        <v>106</v>
      </c>
      <c r="E261" s="34">
        <v>2186</v>
      </c>
      <c r="F261" s="34"/>
      <c r="G261" s="34">
        <v>0</v>
      </c>
      <c r="H261" s="34"/>
      <c r="I261" s="34">
        <v>58430</v>
      </c>
      <c r="J261" s="34"/>
      <c r="K261" s="34">
        <v>500</v>
      </c>
      <c r="L261" s="34"/>
      <c r="M261" s="34">
        <v>2094</v>
      </c>
      <c r="N261" s="34"/>
      <c r="O261" s="34">
        <v>970</v>
      </c>
      <c r="P261" s="34"/>
      <c r="Q261" s="34">
        <v>51283</v>
      </c>
      <c r="R261" s="34"/>
      <c r="S261" s="34">
        <v>142635</v>
      </c>
      <c r="T261" s="34"/>
      <c r="U261" s="34">
        <v>0</v>
      </c>
      <c r="V261" s="34"/>
      <c r="W261" s="34">
        <v>0</v>
      </c>
      <c r="X261" s="34"/>
      <c r="Y261" s="34">
        <v>0</v>
      </c>
      <c r="Z261" s="32"/>
      <c r="AA261" s="34">
        <v>0</v>
      </c>
      <c r="AB261" s="34"/>
      <c r="AC261" s="34">
        <v>5348</v>
      </c>
      <c r="AD261" s="34"/>
      <c r="AE261" s="33">
        <f t="shared" si="3"/>
        <v>263446</v>
      </c>
    </row>
    <row r="262" spans="1:31" ht="12.75" customHeight="1">
      <c r="A262" s="1" t="s">
        <v>691</v>
      </c>
      <c r="C262" s="1" t="s">
        <v>137</v>
      </c>
      <c r="E262" s="34">
        <v>379167</v>
      </c>
      <c r="F262" s="34"/>
      <c r="G262" s="34">
        <v>0</v>
      </c>
      <c r="H262" s="34"/>
      <c r="I262" s="34">
        <v>325</v>
      </c>
      <c r="J262" s="34"/>
      <c r="K262" s="34">
        <v>2779</v>
      </c>
      <c r="L262" s="34"/>
      <c r="M262" s="34">
        <v>3010</v>
      </c>
      <c r="N262" s="34"/>
      <c r="O262" s="34">
        <v>63550</v>
      </c>
      <c r="P262" s="34"/>
      <c r="Q262" s="34">
        <v>234217</v>
      </c>
      <c r="R262" s="34"/>
      <c r="S262" s="34">
        <v>0</v>
      </c>
      <c r="T262" s="34"/>
      <c r="U262" s="34">
        <v>0</v>
      </c>
      <c r="V262" s="34"/>
      <c r="W262" s="34">
        <v>0</v>
      </c>
      <c r="X262" s="34"/>
      <c r="Y262" s="34">
        <v>2409</v>
      </c>
      <c r="Z262" s="32"/>
      <c r="AA262" s="34">
        <v>30000</v>
      </c>
      <c r="AB262" s="34"/>
      <c r="AC262" s="34">
        <v>2132</v>
      </c>
      <c r="AD262" s="34"/>
      <c r="AE262" s="33">
        <f t="shared" si="3"/>
        <v>717589</v>
      </c>
    </row>
    <row r="263" spans="1:31" ht="12.75" customHeight="1">
      <c r="A263" s="1" t="s">
        <v>248</v>
      </c>
      <c r="C263" s="1" t="s">
        <v>239</v>
      </c>
      <c r="E263" s="34">
        <v>87740</v>
      </c>
      <c r="F263" s="34"/>
      <c r="G263" s="34">
        <v>0</v>
      </c>
      <c r="H263" s="34"/>
      <c r="I263" s="34">
        <v>0</v>
      </c>
      <c r="J263" s="34"/>
      <c r="K263" s="34">
        <v>3498</v>
      </c>
      <c r="L263" s="34"/>
      <c r="M263" s="34">
        <v>0</v>
      </c>
      <c r="N263" s="34"/>
      <c r="O263" s="34">
        <v>28042</v>
      </c>
      <c r="P263" s="34"/>
      <c r="Q263" s="34">
        <v>133771</v>
      </c>
      <c r="R263" s="34"/>
      <c r="S263" s="34">
        <v>10974</v>
      </c>
      <c r="T263" s="34"/>
      <c r="U263" s="34">
        <v>0</v>
      </c>
      <c r="V263" s="34"/>
      <c r="W263" s="34">
        <v>0</v>
      </c>
      <c r="X263" s="34"/>
      <c r="Y263" s="34">
        <v>0</v>
      </c>
      <c r="Z263" s="34"/>
      <c r="AA263" s="34">
        <v>0</v>
      </c>
      <c r="AB263" s="32"/>
      <c r="AC263" s="34">
        <v>4628</v>
      </c>
      <c r="AD263" s="34"/>
      <c r="AE263" s="33">
        <f t="shared" si="3"/>
        <v>268653</v>
      </c>
    </row>
    <row r="264" spans="1:31" ht="12.75" customHeight="1">
      <c r="A264" s="1" t="s">
        <v>782</v>
      </c>
      <c r="C264" s="1" t="s">
        <v>190</v>
      </c>
      <c r="E264" s="34">
        <v>0</v>
      </c>
      <c r="F264" s="34"/>
      <c r="G264" s="34">
        <v>3594</v>
      </c>
      <c r="H264" s="34"/>
      <c r="I264" s="34">
        <v>0</v>
      </c>
      <c r="J264" s="34"/>
      <c r="K264" s="34">
        <v>0</v>
      </c>
      <c r="L264" s="34"/>
      <c r="M264" s="34">
        <v>137785</v>
      </c>
      <c r="N264" s="34"/>
      <c r="O264" s="34">
        <v>0</v>
      </c>
      <c r="P264" s="34"/>
      <c r="Q264" s="34">
        <v>72390</v>
      </c>
      <c r="R264" s="34"/>
      <c r="S264" s="34">
        <v>9985</v>
      </c>
      <c r="T264" s="34"/>
      <c r="U264" s="34">
        <v>0</v>
      </c>
      <c r="V264" s="34"/>
      <c r="W264" s="34">
        <v>0</v>
      </c>
      <c r="X264" s="34"/>
      <c r="Y264" s="34">
        <v>33203</v>
      </c>
      <c r="Z264" s="32"/>
      <c r="AA264" s="34">
        <v>0</v>
      </c>
      <c r="AB264" s="34"/>
      <c r="AC264" s="34">
        <v>0</v>
      </c>
      <c r="AD264" s="34"/>
      <c r="AE264" s="33">
        <f t="shared" si="3"/>
        <v>256957</v>
      </c>
    </row>
    <row r="265" spans="1:31" ht="12.75" customHeight="1">
      <c r="A265" s="1" t="s">
        <v>249</v>
      </c>
      <c r="C265" s="1" t="s">
        <v>250</v>
      </c>
      <c r="E265" s="34">
        <v>638672</v>
      </c>
      <c r="F265" s="34"/>
      <c r="G265" s="34">
        <v>8109</v>
      </c>
      <c r="H265" s="34"/>
      <c r="I265" s="34">
        <v>14084</v>
      </c>
      <c r="J265" s="34"/>
      <c r="K265" s="34">
        <v>55342</v>
      </c>
      <c r="L265" s="34"/>
      <c r="M265" s="34">
        <v>36045</v>
      </c>
      <c r="N265" s="34"/>
      <c r="O265" s="34">
        <v>0</v>
      </c>
      <c r="P265" s="34"/>
      <c r="Q265" s="34">
        <v>365291</v>
      </c>
      <c r="R265" s="34"/>
      <c r="S265" s="34">
        <v>148533</v>
      </c>
      <c r="T265" s="34"/>
      <c r="U265" s="34">
        <v>0</v>
      </c>
      <c r="V265" s="34"/>
      <c r="W265" s="34">
        <v>0</v>
      </c>
      <c r="X265" s="34"/>
      <c r="Y265" s="34">
        <v>220735</v>
      </c>
      <c r="Z265" s="34"/>
      <c r="AA265" s="34">
        <v>0</v>
      </c>
      <c r="AB265" s="32"/>
      <c r="AC265" s="34">
        <v>40493</v>
      </c>
      <c r="AD265" s="34"/>
      <c r="AE265" s="33">
        <f t="shared" si="3"/>
        <v>1527304</v>
      </c>
    </row>
    <row r="266" spans="1:31" ht="12.75" customHeight="1">
      <c r="A266" s="1" t="s">
        <v>251</v>
      </c>
      <c r="C266" s="1" t="s">
        <v>78</v>
      </c>
      <c r="E266" s="34">
        <v>13534</v>
      </c>
      <c r="F266" s="34"/>
      <c r="G266" s="34">
        <v>642</v>
      </c>
      <c r="H266" s="34"/>
      <c r="I266" s="34">
        <v>27732</v>
      </c>
      <c r="J266" s="34"/>
      <c r="K266" s="34">
        <v>0</v>
      </c>
      <c r="L266" s="34"/>
      <c r="M266" s="34">
        <v>15921</v>
      </c>
      <c r="N266" s="34"/>
      <c r="O266" s="34">
        <v>3471</v>
      </c>
      <c r="P266" s="34"/>
      <c r="Q266" s="34">
        <v>19874</v>
      </c>
      <c r="R266" s="34"/>
      <c r="S266" s="34">
        <v>0</v>
      </c>
      <c r="T266" s="34"/>
      <c r="U266" s="34">
        <v>0</v>
      </c>
      <c r="V266" s="34"/>
      <c r="W266" s="34">
        <v>0</v>
      </c>
      <c r="X266" s="34"/>
      <c r="Y266" s="34">
        <v>0</v>
      </c>
      <c r="Z266" s="34"/>
      <c r="AA266" s="34">
        <v>0</v>
      </c>
      <c r="AB266" s="32"/>
      <c r="AC266" s="34">
        <v>0</v>
      </c>
      <c r="AD266" s="34"/>
      <c r="AE266" s="33">
        <f t="shared" si="3"/>
        <v>81174</v>
      </c>
    </row>
    <row r="267" spans="1:31" ht="12.75" customHeight="1">
      <c r="A267" s="1" t="s">
        <v>468</v>
      </c>
      <c r="C267" s="1" t="s">
        <v>100</v>
      </c>
      <c r="E267" s="34">
        <v>10628</v>
      </c>
      <c r="F267" s="34"/>
      <c r="G267" s="34">
        <v>0</v>
      </c>
      <c r="H267" s="34"/>
      <c r="I267" s="34">
        <v>0</v>
      </c>
      <c r="J267" s="34"/>
      <c r="K267" s="34">
        <v>0</v>
      </c>
      <c r="L267" s="34"/>
      <c r="M267" s="34">
        <v>3207</v>
      </c>
      <c r="N267" s="34"/>
      <c r="O267" s="34">
        <v>10990</v>
      </c>
      <c r="P267" s="34"/>
      <c r="Q267" s="34">
        <v>33373</v>
      </c>
      <c r="R267" s="34"/>
      <c r="S267" s="34">
        <v>0</v>
      </c>
      <c r="T267" s="34"/>
      <c r="U267" s="34">
        <v>0</v>
      </c>
      <c r="V267" s="34"/>
      <c r="W267" s="34">
        <v>0</v>
      </c>
      <c r="X267" s="34"/>
      <c r="Y267" s="34">
        <v>0</v>
      </c>
      <c r="Z267" s="32"/>
      <c r="AA267" s="34">
        <v>0</v>
      </c>
      <c r="AB267" s="34"/>
      <c r="AC267" s="34">
        <v>251</v>
      </c>
      <c r="AD267" s="34"/>
      <c r="AE267" s="33">
        <f t="shared" si="3"/>
        <v>58449</v>
      </c>
    </row>
    <row r="268" spans="1:31" ht="12.75" customHeight="1">
      <c r="A268" s="1" t="s">
        <v>580</v>
      </c>
      <c r="C268" s="1" t="s">
        <v>133</v>
      </c>
      <c r="E268" s="34">
        <v>23961</v>
      </c>
      <c r="F268" s="34"/>
      <c r="G268" s="34">
        <v>0</v>
      </c>
      <c r="H268" s="34"/>
      <c r="I268" s="34">
        <v>6</v>
      </c>
      <c r="J268" s="34"/>
      <c r="K268" s="34">
        <v>0</v>
      </c>
      <c r="L268" s="34"/>
      <c r="M268" s="34">
        <v>3341</v>
      </c>
      <c r="N268" s="34"/>
      <c r="O268" s="34">
        <v>49900</v>
      </c>
      <c r="P268" s="34"/>
      <c r="Q268" s="34">
        <v>78067</v>
      </c>
      <c r="R268" s="34"/>
      <c r="S268" s="34">
        <v>33341</v>
      </c>
      <c r="T268" s="34"/>
      <c r="U268" s="34">
        <v>0</v>
      </c>
      <c r="V268" s="34"/>
      <c r="W268" s="34">
        <v>0</v>
      </c>
      <c r="X268" s="34"/>
      <c r="Y268" s="34">
        <v>30092</v>
      </c>
      <c r="Z268" s="32"/>
      <c r="AA268" s="34">
        <v>0</v>
      </c>
      <c r="AB268" s="34"/>
      <c r="AC268" s="34">
        <v>0</v>
      </c>
      <c r="AD268" s="34"/>
      <c r="AE268" s="33">
        <f t="shared" si="3"/>
        <v>218708</v>
      </c>
    </row>
    <row r="269" spans="1:31" ht="12.75" customHeight="1">
      <c r="A269" s="1" t="s">
        <v>772</v>
      </c>
      <c r="C269" s="1" t="s">
        <v>94</v>
      </c>
      <c r="E269" s="34">
        <v>4020</v>
      </c>
      <c r="F269" s="34"/>
      <c r="G269" s="34">
        <v>102</v>
      </c>
      <c r="H269" s="34"/>
      <c r="I269" s="34">
        <v>8986</v>
      </c>
      <c r="J269" s="34"/>
      <c r="K269" s="34">
        <v>0</v>
      </c>
      <c r="L269" s="34"/>
      <c r="M269" s="34">
        <v>0</v>
      </c>
      <c r="N269" s="34"/>
      <c r="O269" s="34">
        <v>0</v>
      </c>
      <c r="P269" s="34"/>
      <c r="Q269" s="34">
        <v>26210</v>
      </c>
      <c r="R269" s="34"/>
      <c r="S269" s="34">
        <v>0</v>
      </c>
      <c r="T269" s="34"/>
      <c r="U269" s="34">
        <v>0</v>
      </c>
      <c r="V269" s="34"/>
      <c r="W269" s="34">
        <v>0</v>
      </c>
      <c r="X269" s="34"/>
      <c r="Y269" s="34">
        <v>0</v>
      </c>
      <c r="Z269" s="32"/>
      <c r="AA269" s="34">
        <v>0</v>
      </c>
      <c r="AB269" s="34"/>
      <c r="AC269" s="34">
        <v>0</v>
      </c>
      <c r="AD269" s="34"/>
      <c r="AE269" s="33">
        <f aca="true" t="shared" si="4" ref="AE269:AE332">SUM(E269:AC269)</f>
        <v>39318</v>
      </c>
    </row>
    <row r="270" spans="1:31" ht="12.75" customHeight="1">
      <c r="A270" s="1" t="s">
        <v>252</v>
      </c>
      <c r="C270" s="1" t="s">
        <v>112</v>
      </c>
      <c r="E270" s="34">
        <v>1432099</v>
      </c>
      <c r="F270" s="34"/>
      <c r="G270" s="34">
        <v>15986</v>
      </c>
      <c r="H270" s="34"/>
      <c r="I270" s="34">
        <v>361795</v>
      </c>
      <c r="J270" s="34"/>
      <c r="K270" s="34">
        <v>0</v>
      </c>
      <c r="L270" s="34"/>
      <c r="M270" s="34">
        <v>0</v>
      </c>
      <c r="N270" s="34"/>
      <c r="O270" s="34">
        <v>876444</v>
      </c>
      <c r="P270" s="34"/>
      <c r="Q270" s="34">
        <v>1084355</v>
      </c>
      <c r="R270" s="34"/>
      <c r="S270" s="34">
        <v>0</v>
      </c>
      <c r="T270" s="34"/>
      <c r="U270" s="34">
        <v>0</v>
      </c>
      <c r="V270" s="34"/>
      <c r="W270" s="34">
        <v>68875</v>
      </c>
      <c r="X270" s="34"/>
      <c r="Y270" s="34">
        <v>0</v>
      </c>
      <c r="Z270" s="34"/>
      <c r="AA270" s="34">
        <v>0</v>
      </c>
      <c r="AB270" s="32"/>
      <c r="AC270" s="34">
        <v>0</v>
      </c>
      <c r="AD270" s="34"/>
      <c r="AE270" s="33">
        <f t="shared" si="4"/>
        <v>3839554</v>
      </c>
    </row>
    <row r="271" spans="1:31" ht="12.75" customHeight="1">
      <c r="A271" s="1" t="s">
        <v>618</v>
      </c>
      <c r="C271" s="1" t="s">
        <v>369</v>
      </c>
      <c r="E271" s="34">
        <v>46867</v>
      </c>
      <c r="F271" s="34"/>
      <c r="G271" s="34">
        <v>0</v>
      </c>
      <c r="H271" s="34"/>
      <c r="I271" s="34">
        <v>2379</v>
      </c>
      <c r="J271" s="34"/>
      <c r="K271" s="34">
        <v>699</v>
      </c>
      <c r="L271" s="34"/>
      <c r="M271" s="34">
        <v>0</v>
      </c>
      <c r="N271" s="34"/>
      <c r="O271" s="34">
        <v>6557</v>
      </c>
      <c r="P271" s="34"/>
      <c r="Q271" s="34">
        <v>41395</v>
      </c>
      <c r="R271" s="34"/>
      <c r="S271" s="34">
        <v>11823</v>
      </c>
      <c r="T271" s="34"/>
      <c r="U271" s="34">
        <v>0</v>
      </c>
      <c r="V271" s="34"/>
      <c r="W271" s="34">
        <v>0</v>
      </c>
      <c r="X271" s="34"/>
      <c r="Y271" s="34">
        <v>0</v>
      </c>
      <c r="Z271" s="32"/>
      <c r="AA271" s="34">
        <v>0</v>
      </c>
      <c r="AB271" s="34"/>
      <c r="AC271" s="34">
        <v>3000</v>
      </c>
      <c r="AD271" s="34"/>
      <c r="AE271" s="33">
        <f t="shared" si="4"/>
        <v>112720</v>
      </c>
    </row>
    <row r="272" spans="1:31" ht="12.75" customHeight="1">
      <c r="A272" s="1" t="s">
        <v>600</v>
      </c>
      <c r="C272" s="1" t="s">
        <v>69</v>
      </c>
      <c r="E272" s="34">
        <v>5981</v>
      </c>
      <c r="F272" s="34"/>
      <c r="G272" s="34">
        <v>100</v>
      </c>
      <c r="H272" s="34"/>
      <c r="I272" s="34">
        <v>100</v>
      </c>
      <c r="J272" s="34"/>
      <c r="K272" s="34">
        <v>0</v>
      </c>
      <c r="L272" s="34"/>
      <c r="M272" s="34">
        <v>0</v>
      </c>
      <c r="N272" s="34"/>
      <c r="O272" s="34">
        <v>4783</v>
      </c>
      <c r="P272" s="34"/>
      <c r="Q272" s="34">
        <v>23872</v>
      </c>
      <c r="R272" s="34"/>
      <c r="S272" s="34">
        <v>0</v>
      </c>
      <c r="T272" s="34"/>
      <c r="U272" s="34">
        <v>0</v>
      </c>
      <c r="V272" s="34"/>
      <c r="W272" s="34">
        <v>0</v>
      </c>
      <c r="X272" s="34"/>
      <c r="Y272" s="34">
        <v>0</v>
      </c>
      <c r="Z272" s="32"/>
      <c r="AA272" s="34">
        <v>0</v>
      </c>
      <c r="AB272" s="34"/>
      <c r="AC272" s="34">
        <v>0</v>
      </c>
      <c r="AD272" s="34"/>
      <c r="AE272" s="33">
        <f t="shared" si="4"/>
        <v>34836</v>
      </c>
    </row>
    <row r="273" spans="1:31" ht="12.75" customHeight="1">
      <c r="A273" s="1" t="s">
        <v>253</v>
      </c>
      <c r="C273" s="1" t="s">
        <v>78</v>
      </c>
      <c r="E273" s="34">
        <v>25991</v>
      </c>
      <c r="F273" s="34"/>
      <c r="G273" s="34">
        <v>0</v>
      </c>
      <c r="H273" s="34"/>
      <c r="I273" s="34">
        <v>0</v>
      </c>
      <c r="J273" s="34"/>
      <c r="K273" s="34">
        <v>0</v>
      </c>
      <c r="L273" s="34"/>
      <c r="M273" s="34">
        <v>9872</v>
      </c>
      <c r="N273" s="34"/>
      <c r="O273" s="34">
        <v>0</v>
      </c>
      <c r="P273" s="34"/>
      <c r="Q273" s="34">
        <v>9751</v>
      </c>
      <c r="R273" s="34"/>
      <c r="S273" s="34">
        <v>0</v>
      </c>
      <c r="T273" s="34"/>
      <c r="U273" s="34">
        <v>0</v>
      </c>
      <c r="V273" s="34"/>
      <c r="W273" s="34">
        <v>0</v>
      </c>
      <c r="X273" s="34"/>
      <c r="Y273" s="34">
        <v>0</v>
      </c>
      <c r="Z273" s="34"/>
      <c r="AA273" s="34">
        <v>0</v>
      </c>
      <c r="AB273" s="32"/>
      <c r="AC273" s="34">
        <v>0</v>
      </c>
      <c r="AD273" s="34"/>
      <c r="AE273" s="33">
        <f t="shared" si="4"/>
        <v>45614</v>
      </c>
    </row>
    <row r="274" spans="1:31" ht="12.75" customHeight="1">
      <c r="A274" s="1" t="s">
        <v>728</v>
      </c>
      <c r="C274" s="1" t="s">
        <v>131</v>
      </c>
      <c r="E274" s="34">
        <v>163330</v>
      </c>
      <c r="F274" s="34"/>
      <c r="G274" s="34">
        <v>0</v>
      </c>
      <c r="H274" s="34"/>
      <c r="I274" s="34">
        <v>7472</v>
      </c>
      <c r="J274" s="34"/>
      <c r="K274" s="34">
        <v>1191</v>
      </c>
      <c r="L274" s="34"/>
      <c r="M274" s="34">
        <v>0</v>
      </c>
      <c r="N274" s="34"/>
      <c r="O274" s="34">
        <v>6076</v>
      </c>
      <c r="P274" s="34"/>
      <c r="Q274" s="34">
        <v>47301</v>
      </c>
      <c r="R274" s="34"/>
      <c r="S274" s="34">
        <v>0</v>
      </c>
      <c r="T274" s="34"/>
      <c r="U274" s="34">
        <v>0</v>
      </c>
      <c r="V274" s="34"/>
      <c r="W274" s="34">
        <v>0</v>
      </c>
      <c r="X274" s="34"/>
      <c r="Y274" s="34">
        <v>88177</v>
      </c>
      <c r="Z274" s="32"/>
      <c r="AA274" s="34">
        <v>0</v>
      </c>
      <c r="AB274" s="34"/>
      <c r="AC274" s="34">
        <v>332</v>
      </c>
      <c r="AD274" s="34"/>
      <c r="AE274" s="33">
        <f t="shared" si="4"/>
        <v>313879</v>
      </c>
    </row>
    <row r="275" spans="1:31" ht="12.75" customHeight="1">
      <c r="A275" s="1" t="s">
        <v>254</v>
      </c>
      <c r="C275" s="1" t="s">
        <v>71</v>
      </c>
      <c r="E275" s="34">
        <v>16396</v>
      </c>
      <c r="F275" s="34"/>
      <c r="G275" s="34">
        <v>291</v>
      </c>
      <c r="H275" s="34"/>
      <c r="I275" s="34">
        <v>2691</v>
      </c>
      <c r="J275" s="34"/>
      <c r="K275" s="34">
        <v>0</v>
      </c>
      <c r="L275" s="34"/>
      <c r="M275" s="34">
        <v>0</v>
      </c>
      <c r="N275" s="34"/>
      <c r="O275" s="34">
        <v>0</v>
      </c>
      <c r="P275" s="34"/>
      <c r="Q275" s="34">
        <v>27806</v>
      </c>
      <c r="R275" s="34"/>
      <c r="S275" s="34">
        <v>0</v>
      </c>
      <c r="T275" s="34"/>
      <c r="U275" s="34">
        <v>0</v>
      </c>
      <c r="V275" s="34"/>
      <c r="W275" s="34">
        <v>0</v>
      </c>
      <c r="X275" s="34"/>
      <c r="Y275" s="34">
        <v>0</v>
      </c>
      <c r="Z275" s="34"/>
      <c r="AA275" s="34">
        <v>0</v>
      </c>
      <c r="AB275" s="32"/>
      <c r="AC275" s="34">
        <v>0</v>
      </c>
      <c r="AD275" s="34"/>
      <c r="AE275" s="33">
        <f t="shared" si="4"/>
        <v>47184</v>
      </c>
    </row>
    <row r="276" spans="1:31" ht="12.75" customHeight="1">
      <c r="A276" s="1" t="s">
        <v>555</v>
      </c>
      <c r="C276" s="1" t="s">
        <v>157</v>
      </c>
      <c r="E276" s="34">
        <v>48650</v>
      </c>
      <c r="F276" s="34"/>
      <c r="G276" s="34">
        <v>4415</v>
      </c>
      <c r="H276" s="34"/>
      <c r="I276" s="34">
        <v>1336</v>
      </c>
      <c r="J276" s="34"/>
      <c r="K276" s="34">
        <v>2820</v>
      </c>
      <c r="L276" s="34"/>
      <c r="M276" s="34">
        <v>25020</v>
      </c>
      <c r="N276" s="34"/>
      <c r="O276" s="34">
        <v>0</v>
      </c>
      <c r="P276" s="34"/>
      <c r="Q276" s="34">
        <v>210229</v>
      </c>
      <c r="R276" s="34"/>
      <c r="S276" s="34">
        <v>0</v>
      </c>
      <c r="T276" s="34"/>
      <c r="U276" s="34">
        <v>0</v>
      </c>
      <c r="V276" s="34"/>
      <c r="W276" s="34">
        <v>0</v>
      </c>
      <c r="X276" s="34"/>
      <c r="Y276" s="34">
        <v>100000</v>
      </c>
      <c r="Z276" s="32"/>
      <c r="AA276" s="34">
        <v>0</v>
      </c>
      <c r="AB276" s="34"/>
      <c r="AC276" s="34">
        <v>0</v>
      </c>
      <c r="AD276" s="34"/>
      <c r="AE276" s="33">
        <f t="shared" si="4"/>
        <v>392470</v>
      </c>
    </row>
    <row r="277" spans="1:31" ht="12.75" customHeight="1">
      <c r="A277" s="1" t="s">
        <v>255</v>
      </c>
      <c r="C277" s="1" t="s">
        <v>76</v>
      </c>
      <c r="E277" s="34">
        <v>373750</v>
      </c>
      <c r="F277" s="34"/>
      <c r="G277" s="34">
        <v>0</v>
      </c>
      <c r="H277" s="34"/>
      <c r="I277" s="34">
        <v>0</v>
      </c>
      <c r="J277" s="34"/>
      <c r="K277" s="34">
        <v>906</v>
      </c>
      <c r="L277" s="34"/>
      <c r="M277" s="34">
        <v>0</v>
      </c>
      <c r="N277" s="34"/>
      <c r="O277" s="34">
        <v>36837</v>
      </c>
      <c r="P277" s="34"/>
      <c r="Q277" s="34">
        <v>366816</v>
      </c>
      <c r="R277" s="34"/>
      <c r="S277" s="34">
        <v>0</v>
      </c>
      <c r="T277" s="34"/>
      <c r="U277" s="34">
        <v>0</v>
      </c>
      <c r="V277" s="34"/>
      <c r="W277" s="34">
        <v>0</v>
      </c>
      <c r="X277" s="34"/>
      <c r="Y277" s="34">
        <v>85875</v>
      </c>
      <c r="Z277" s="34"/>
      <c r="AA277" s="34">
        <v>0</v>
      </c>
      <c r="AB277" s="32"/>
      <c r="AC277" s="34">
        <v>0</v>
      </c>
      <c r="AD277" s="34"/>
      <c r="AE277" s="33">
        <f t="shared" si="4"/>
        <v>864184</v>
      </c>
    </row>
    <row r="278" spans="1:31" ht="12.75" customHeight="1">
      <c r="A278" s="1" t="s">
        <v>538</v>
      </c>
      <c r="C278" s="1" t="s">
        <v>200</v>
      </c>
      <c r="E278" s="34">
        <v>52234</v>
      </c>
      <c r="F278" s="34"/>
      <c r="G278" s="34">
        <v>5100</v>
      </c>
      <c r="H278" s="34"/>
      <c r="I278" s="34">
        <v>0</v>
      </c>
      <c r="J278" s="34"/>
      <c r="K278" s="34">
        <v>5222</v>
      </c>
      <c r="L278" s="34"/>
      <c r="M278" s="34">
        <v>142000</v>
      </c>
      <c r="N278" s="34"/>
      <c r="O278" s="34">
        <v>0</v>
      </c>
      <c r="P278" s="34"/>
      <c r="Q278" s="34">
        <v>476387</v>
      </c>
      <c r="R278" s="34"/>
      <c r="S278" s="34">
        <v>0</v>
      </c>
      <c r="T278" s="34"/>
      <c r="U278" s="34">
        <v>0</v>
      </c>
      <c r="V278" s="34"/>
      <c r="W278" s="34">
        <v>18723</v>
      </c>
      <c r="X278" s="34"/>
      <c r="Y278" s="34">
        <v>0</v>
      </c>
      <c r="Z278" s="32"/>
      <c r="AA278" s="34">
        <v>0</v>
      </c>
      <c r="AB278" s="34"/>
      <c r="AC278" s="34">
        <v>18880</v>
      </c>
      <c r="AD278" s="34"/>
      <c r="AE278" s="33">
        <f t="shared" si="4"/>
        <v>718546</v>
      </c>
    </row>
    <row r="279" spans="1:31" ht="12.75" customHeight="1">
      <c r="A279" s="1" t="s">
        <v>256</v>
      </c>
      <c r="C279" s="1" t="s">
        <v>114</v>
      </c>
      <c r="E279" s="34">
        <v>4919</v>
      </c>
      <c r="F279" s="34"/>
      <c r="G279" s="34">
        <v>920</v>
      </c>
      <c r="H279" s="34"/>
      <c r="I279" s="34">
        <v>18353</v>
      </c>
      <c r="J279" s="34"/>
      <c r="K279" s="34">
        <v>8549</v>
      </c>
      <c r="L279" s="34"/>
      <c r="M279" s="34">
        <v>10302</v>
      </c>
      <c r="N279" s="34"/>
      <c r="O279" s="34">
        <v>12111</v>
      </c>
      <c r="P279" s="34"/>
      <c r="Q279" s="34">
        <v>28091</v>
      </c>
      <c r="R279" s="34"/>
      <c r="S279" s="34">
        <v>0</v>
      </c>
      <c r="T279" s="34"/>
      <c r="U279" s="34">
        <v>0</v>
      </c>
      <c r="V279" s="34"/>
      <c r="W279" s="34">
        <v>0</v>
      </c>
      <c r="X279" s="34"/>
      <c r="Y279" s="34">
        <v>0</v>
      </c>
      <c r="Z279" s="34"/>
      <c r="AA279" s="34">
        <v>0</v>
      </c>
      <c r="AB279" s="32"/>
      <c r="AC279" s="34">
        <v>0</v>
      </c>
      <c r="AD279" s="34"/>
      <c r="AE279" s="33">
        <f t="shared" si="4"/>
        <v>83245</v>
      </c>
    </row>
    <row r="280" spans="1:31" ht="12.75" customHeight="1">
      <c r="A280" s="1" t="s">
        <v>257</v>
      </c>
      <c r="C280" s="30" t="s">
        <v>92</v>
      </c>
      <c r="E280" s="34">
        <v>1338</v>
      </c>
      <c r="F280" s="34"/>
      <c r="G280" s="34">
        <v>661</v>
      </c>
      <c r="H280" s="34"/>
      <c r="I280" s="34">
        <v>8725</v>
      </c>
      <c r="J280" s="34"/>
      <c r="K280" s="34">
        <v>100</v>
      </c>
      <c r="L280" s="34"/>
      <c r="M280" s="34">
        <v>0</v>
      </c>
      <c r="N280" s="34"/>
      <c r="O280" s="34">
        <v>0</v>
      </c>
      <c r="P280" s="34"/>
      <c r="Q280" s="34">
        <v>39993</v>
      </c>
      <c r="R280" s="34"/>
      <c r="S280" s="34">
        <v>0</v>
      </c>
      <c r="T280" s="34"/>
      <c r="U280" s="34">
        <v>0</v>
      </c>
      <c r="V280" s="34"/>
      <c r="W280" s="34">
        <v>0</v>
      </c>
      <c r="X280" s="34"/>
      <c r="Y280" s="34">
        <v>598</v>
      </c>
      <c r="Z280" s="34"/>
      <c r="AA280" s="34">
        <v>0</v>
      </c>
      <c r="AB280" s="32"/>
      <c r="AC280" s="34">
        <v>4274</v>
      </c>
      <c r="AD280" s="34"/>
      <c r="AE280" s="33">
        <f t="shared" si="4"/>
        <v>55689</v>
      </c>
    </row>
    <row r="281" spans="1:31" ht="12.75" customHeight="1">
      <c r="A281" s="1" t="s">
        <v>258</v>
      </c>
      <c r="C281" s="1" t="s">
        <v>94</v>
      </c>
      <c r="E281" s="34">
        <v>9916</v>
      </c>
      <c r="F281" s="34"/>
      <c r="G281" s="34">
        <v>190</v>
      </c>
      <c r="H281" s="34"/>
      <c r="I281" s="34">
        <v>2195</v>
      </c>
      <c r="J281" s="34"/>
      <c r="K281" s="34">
        <v>0</v>
      </c>
      <c r="L281" s="34"/>
      <c r="M281" s="34">
        <v>0</v>
      </c>
      <c r="N281" s="34"/>
      <c r="O281" s="34">
        <v>0</v>
      </c>
      <c r="P281" s="34"/>
      <c r="Q281" s="34">
        <v>22508</v>
      </c>
      <c r="R281" s="34"/>
      <c r="S281" s="34">
        <v>0</v>
      </c>
      <c r="T281" s="34"/>
      <c r="U281" s="34">
        <v>0</v>
      </c>
      <c r="V281" s="34"/>
      <c r="W281" s="34">
        <v>0</v>
      </c>
      <c r="X281" s="34"/>
      <c r="Y281" s="34">
        <v>0</v>
      </c>
      <c r="Z281" s="34"/>
      <c r="AA281" s="34">
        <v>0</v>
      </c>
      <c r="AB281" s="32"/>
      <c r="AC281" s="34">
        <v>0</v>
      </c>
      <c r="AD281" s="34"/>
      <c r="AE281" s="33">
        <f t="shared" si="4"/>
        <v>34809</v>
      </c>
    </row>
    <row r="282" spans="1:31" ht="12.75" customHeight="1">
      <c r="A282" s="1" t="s">
        <v>581</v>
      </c>
      <c r="C282" s="1" t="s">
        <v>133</v>
      </c>
      <c r="E282" s="34">
        <v>42071</v>
      </c>
      <c r="F282" s="34"/>
      <c r="G282" s="34">
        <v>20</v>
      </c>
      <c r="H282" s="34"/>
      <c r="I282" s="34">
        <v>0</v>
      </c>
      <c r="J282" s="34"/>
      <c r="K282" s="34">
        <v>0</v>
      </c>
      <c r="L282" s="34"/>
      <c r="M282" s="34">
        <v>1555</v>
      </c>
      <c r="N282" s="34"/>
      <c r="O282" s="34">
        <v>0</v>
      </c>
      <c r="P282" s="34"/>
      <c r="Q282" s="34">
        <v>36876</v>
      </c>
      <c r="R282" s="34"/>
      <c r="S282" s="34">
        <v>254</v>
      </c>
      <c r="T282" s="34"/>
      <c r="U282" s="34">
        <v>0</v>
      </c>
      <c r="V282" s="34"/>
      <c r="W282" s="34">
        <v>72923</v>
      </c>
      <c r="X282" s="34"/>
      <c r="Y282" s="34">
        <v>0</v>
      </c>
      <c r="Z282" s="32"/>
      <c r="AA282" s="34">
        <v>35036</v>
      </c>
      <c r="AB282" s="34"/>
      <c r="AC282" s="34">
        <v>0</v>
      </c>
      <c r="AD282" s="34"/>
      <c r="AE282" s="33">
        <f t="shared" si="4"/>
        <v>188735</v>
      </c>
    </row>
    <row r="283" spans="1:31" ht="12.75" customHeight="1">
      <c r="A283" s="1" t="s">
        <v>614</v>
      </c>
      <c r="C283" s="1" t="s">
        <v>231</v>
      </c>
      <c r="E283" s="34">
        <v>723170</v>
      </c>
      <c r="F283" s="34"/>
      <c r="G283" s="34">
        <v>9750</v>
      </c>
      <c r="H283" s="34"/>
      <c r="I283" s="34">
        <v>56144</v>
      </c>
      <c r="J283" s="34"/>
      <c r="K283" s="34">
        <v>144732</v>
      </c>
      <c r="L283" s="34"/>
      <c r="M283" s="34">
        <v>0</v>
      </c>
      <c r="N283" s="34"/>
      <c r="O283" s="34">
        <v>25845</v>
      </c>
      <c r="P283" s="34"/>
      <c r="Q283" s="34">
        <v>335733</v>
      </c>
      <c r="R283" s="34"/>
      <c r="S283" s="34">
        <v>0</v>
      </c>
      <c r="T283" s="34"/>
      <c r="U283" s="34">
        <v>0</v>
      </c>
      <c r="V283" s="34"/>
      <c r="W283" s="34">
        <v>0</v>
      </c>
      <c r="X283" s="34"/>
      <c r="Y283" s="34">
        <v>240000</v>
      </c>
      <c r="Z283" s="32"/>
      <c r="AA283" s="34">
        <v>0</v>
      </c>
      <c r="AB283" s="34"/>
      <c r="AC283" s="34">
        <v>33822</v>
      </c>
      <c r="AD283" s="34"/>
      <c r="AE283" s="33">
        <f t="shared" si="4"/>
        <v>1569196</v>
      </c>
    </row>
    <row r="284" spans="1:31" ht="12.75" customHeight="1">
      <c r="A284" s="1" t="s">
        <v>259</v>
      </c>
      <c r="C284" s="1" t="s">
        <v>179</v>
      </c>
      <c r="E284" s="34">
        <v>48163</v>
      </c>
      <c r="F284" s="34"/>
      <c r="G284" s="34">
        <v>0</v>
      </c>
      <c r="H284" s="34"/>
      <c r="I284" s="34">
        <v>7745</v>
      </c>
      <c r="J284" s="34"/>
      <c r="K284" s="34">
        <v>0</v>
      </c>
      <c r="L284" s="34"/>
      <c r="M284" s="34">
        <v>0</v>
      </c>
      <c r="N284" s="34"/>
      <c r="O284" s="34">
        <v>0</v>
      </c>
      <c r="P284" s="34"/>
      <c r="Q284" s="34">
        <v>46723</v>
      </c>
      <c r="R284" s="34"/>
      <c r="S284" s="34">
        <v>0</v>
      </c>
      <c r="T284" s="34"/>
      <c r="U284" s="34">
        <v>0</v>
      </c>
      <c r="V284" s="34"/>
      <c r="W284" s="34">
        <v>0</v>
      </c>
      <c r="X284" s="34"/>
      <c r="Y284" s="34">
        <v>0</v>
      </c>
      <c r="Z284" s="34"/>
      <c r="AA284" s="34">
        <v>0</v>
      </c>
      <c r="AB284" s="32"/>
      <c r="AC284" s="34">
        <v>0</v>
      </c>
      <c r="AD284" s="34"/>
      <c r="AE284" s="33">
        <f t="shared" si="4"/>
        <v>102631</v>
      </c>
    </row>
    <row r="285" spans="1:31" ht="12.75" customHeight="1">
      <c r="A285" s="1" t="s">
        <v>706</v>
      </c>
      <c r="C285" s="1" t="s">
        <v>110</v>
      </c>
      <c r="E285" s="34">
        <v>60794</v>
      </c>
      <c r="F285" s="34"/>
      <c r="G285" s="34">
        <v>679</v>
      </c>
      <c r="H285" s="34"/>
      <c r="I285" s="34">
        <v>8291</v>
      </c>
      <c r="J285" s="34"/>
      <c r="K285" s="34">
        <v>0</v>
      </c>
      <c r="L285" s="34"/>
      <c r="M285" s="34">
        <v>1389</v>
      </c>
      <c r="N285" s="34"/>
      <c r="O285" s="34">
        <v>0</v>
      </c>
      <c r="P285" s="34"/>
      <c r="Q285" s="34">
        <v>171909</v>
      </c>
      <c r="R285" s="34"/>
      <c r="S285" s="34">
        <v>279402</v>
      </c>
      <c r="T285" s="34"/>
      <c r="U285" s="34">
        <v>0</v>
      </c>
      <c r="V285" s="34"/>
      <c r="W285" s="34">
        <v>0</v>
      </c>
      <c r="X285" s="34"/>
      <c r="Y285" s="34">
        <v>0</v>
      </c>
      <c r="Z285" s="32"/>
      <c r="AA285" s="34">
        <v>13000</v>
      </c>
      <c r="AB285" s="34"/>
      <c r="AC285" s="34">
        <v>0</v>
      </c>
      <c r="AD285" s="34"/>
      <c r="AE285" s="33">
        <f t="shared" si="4"/>
        <v>535464</v>
      </c>
    </row>
    <row r="286" spans="1:31" ht="12.75" customHeight="1">
      <c r="A286" s="1" t="s">
        <v>260</v>
      </c>
      <c r="C286" s="1" t="s">
        <v>261</v>
      </c>
      <c r="E286" s="34">
        <v>159186</v>
      </c>
      <c r="F286" s="34"/>
      <c r="G286" s="34">
        <v>0</v>
      </c>
      <c r="H286" s="34"/>
      <c r="I286" s="34">
        <v>199</v>
      </c>
      <c r="J286" s="34"/>
      <c r="K286" s="34">
        <v>9122</v>
      </c>
      <c r="L286" s="34"/>
      <c r="M286" s="34">
        <v>0</v>
      </c>
      <c r="N286" s="34"/>
      <c r="O286" s="34">
        <v>66679</v>
      </c>
      <c r="P286" s="34"/>
      <c r="Q286" s="34">
        <v>228655</v>
      </c>
      <c r="R286" s="34"/>
      <c r="S286" s="34">
        <v>46542</v>
      </c>
      <c r="T286" s="34"/>
      <c r="U286" s="34">
        <v>0</v>
      </c>
      <c r="V286" s="34"/>
      <c r="W286" s="34">
        <v>0</v>
      </c>
      <c r="X286" s="34"/>
      <c r="Y286" s="34">
        <v>398</v>
      </c>
      <c r="Z286" s="34"/>
      <c r="AA286" s="34">
        <v>0</v>
      </c>
      <c r="AB286" s="32"/>
      <c r="AC286" s="34">
        <v>0</v>
      </c>
      <c r="AD286" s="34"/>
      <c r="AE286" s="33">
        <f t="shared" si="4"/>
        <v>510781</v>
      </c>
    </row>
    <row r="287" spans="1:31" ht="12.75" customHeight="1">
      <c r="A287" s="1" t="s">
        <v>262</v>
      </c>
      <c r="C287" s="1" t="s">
        <v>131</v>
      </c>
      <c r="E287" s="34">
        <v>2452</v>
      </c>
      <c r="F287" s="34"/>
      <c r="G287" s="34">
        <v>792</v>
      </c>
      <c r="H287" s="34"/>
      <c r="I287" s="34">
        <v>1507</v>
      </c>
      <c r="J287" s="34"/>
      <c r="K287" s="34">
        <v>114</v>
      </c>
      <c r="L287" s="34"/>
      <c r="M287" s="34">
        <v>1391</v>
      </c>
      <c r="N287" s="34"/>
      <c r="O287" s="34">
        <v>7564</v>
      </c>
      <c r="P287" s="34"/>
      <c r="Q287" s="34">
        <v>11646</v>
      </c>
      <c r="R287" s="34"/>
      <c r="S287" s="34">
        <v>0</v>
      </c>
      <c r="T287" s="34"/>
      <c r="U287" s="34">
        <v>0</v>
      </c>
      <c r="V287" s="34"/>
      <c r="W287" s="34">
        <v>0</v>
      </c>
      <c r="X287" s="34"/>
      <c r="Y287" s="34">
        <v>0</v>
      </c>
      <c r="Z287" s="34"/>
      <c r="AA287" s="34">
        <v>0</v>
      </c>
      <c r="AB287" s="32"/>
      <c r="AC287" s="34">
        <v>0</v>
      </c>
      <c r="AD287" s="34"/>
      <c r="AE287" s="33">
        <f t="shared" si="4"/>
        <v>25466</v>
      </c>
    </row>
    <row r="288" spans="1:31" ht="12.75" customHeight="1">
      <c r="A288" s="1" t="s">
        <v>263</v>
      </c>
      <c r="C288" s="1" t="s">
        <v>221</v>
      </c>
      <c r="E288" s="34">
        <v>13383</v>
      </c>
      <c r="F288" s="34"/>
      <c r="G288" s="34">
        <v>3118</v>
      </c>
      <c r="H288" s="34"/>
      <c r="I288" s="34">
        <v>11454</v>
      </c>
      <c r="J288" s="34"/>
      <c r="K288" s="34">
        <v>0</v>
      </c>
      <c r="L288" s="34"/>
      <c r="M288" s="34">
        <v>4725</v>
      </c>
      <c r="N288" s="34"/>
      <c r="O288" s="34">
        <v>30659</v>
      </c>
      <c r="P288" s="34"/>
      <c r="Q288" s="34">
        <v>30003</v>
      </c>
      <c r="R288" s="34"/>
      <c r="S288" s="34">
        <v>0</v>
      </c>
      <c r="T288" s="34"/>
      <c r="U288" s="34">
        <v>0</v>
      </c>
      <c r="V288" s="34"/>
      <c r="W288" s="34">
        <v>0</v>
      </c>
      <c r="X288" s="34"/>
      <c r="Y288" s="34">
        <v>0</v>
      </c>
      <c r="Z288" s="34"/>
      <c r="AA288" s="34">
        <v>0</v>
      </c>
      <c r="AB288" s="32"/>
      <c r="AC288" s="34">
        <v>0</v>
      </c>
      <c r="AD288" s="34"/>
      <c r="AE288" s="33">
        <f t="shared" si="4"/>
        <v>93342</v>
      </c>
    </row>
    <row r="289" spans="1:31" ht="12.75" customHeight="1">
      <c r="A289" s="1" t="s">
        <v>264</v>
      </c>
      <c r="C289" s="1" t="s">
        <v>199</v>
      </c>
      <c r="E289" s="34">
        <v>2112</v>
      </c>
      <c r="F289" s="34"/>
      <c r="G289" s="34">
        <v>0</v>
      </c>
      <c r="H289" s="34"/>
      <c r="I289" s="34">
        <v>0</v>
      </c>
      <c r="J289" s="34"/>
      <c r="K289" s="34">
        <v>0</v>
      </c>
      <c r="L289" s="34"/>
      <c r="M289" s="34">
        <v>0</v>
      </c>
      <c r="N289" s="34"/>
      <c r="O289" s="34">
        <v>0</v>
      </c>
      <c r="P289" s="34"/>
      <c r="Q289" s="34">
        <v>14865</v>
      </c>
      <c r="R289" s="34"/>
      <c r="S289" s="34">
        <v>44359</v>
      </c>
      <c r="T289" s="34"/>
      <c r="U289" s="34">
        <v>4660</v>
      </c>
      <c r="V289" s="34"/>
      <c r="W289" s="34">
        <v>0</v>
      </c>
      <c r="X289" s="34"/>
      <c r="Y289" s="34">
        <v>0</v>
      </c>
      <c r="Z289" s="34"/>
      <c r="AA289" s="34">
        <v>0</v>
      </c>
      <c r="AB289" s="32"/>
      <c r="AC289" s="34">
        <v>0</v>
      </c>
      <c r="AD289" s="34"/>
      <c r="AE289" s="33">
        <f t="shared" si="4"/>
        <v>65996</v>
      </c>
    </row>
    <row r="290" spans="1:31" ht="12.75" customHeight="1">
      <c r="A290" s="1" t="s">
        <v>716</v>
      </c>
      <c r="C290" s="1" t="s">
        <v>712</v>
      </c>
      <c r="E290" s="34">
        <v>7224</v>
      </c>
      <c r="F290" s="34"/>
      <c r="G290" s="34">
        <v>0</v>
      </c>
      <c r="H290" s="34"/>
      <c r="I290" s="34">
        <v>0</v>
      </c>
      <c r="J290" s="34"/>
      <c r="K290" s="34">
        <v>1820</v>
      </c>
      <c r="L290" s="34"/>
      <c r="M290" s="34">
        <v>29713</v>
      </c>
      <c r="N290" s="34"/>
      <c r="O290" s="34">
        <v>0</v>
      </c>
      <c r="P290" s="34"/>
      <c r="Q290" s="34">
        <v>53336</v>
      </c>
      <c r="R290" s="34"/>
      <c r="S290" s="34">
        <v>178</v>
      </c>
      <c r="T290" s="34"/>
      <c r="U290" s="34">
        <v>0</v>
      </c>
      <c r="V290" s="34"/>
      <c r="W290" s="34">
        <v>0</v>
      </c>
      <c r="X290" s="34"/>
      <c r="Y290" s="34">
        <v>0</v>
      </c>
      <c r="Z290" s="32"/>
      <c r="AA290" s="34">
        <v>0</v>
      </c>
      <c r="AB290" s="34"/>
      <c r="AC290" s="34">
        <v>0</v>
      </c>
      <c r="AD290" s="34"/>
      <c r="AE290" s="33">
        <f t="shared" si="4"/>
        <v>92271</v>
      </c>
    </row>
    <row r="291" spans="1:31" ht="12.75" customHeight="1">
      <c r="A291" s="1" t="s">
        <v>623</v>
      </c>
      <c r="C291" s="1" t="s">
        <v>228</v>
      </c>
      <c r="E291" s="34">
        <v>9747</v>
      </c>
      <c r="F291" s="34"/>
      <c r="G291" s="34">
        <v>0</v>
      </c>
      <c r="H291" s="34"/>
      <c r="I291" s="34">
        <v>2555</v>
      </c>
      <c r="J291" s="34"/>
      <c r="K291" s="34">
        <v>0</v>
      </c>
      <c r="L291" s="34"/>
      <c r="M291" s="34">
        <v>17985</v>
      </c>
      <c r="N291" s="34"/>
      <c r="O291" s="34">
        <v>0</v>
      </c>
      <c r="P291" s="34"/>
      <c r="Q291" s="34">
        <v>30439</v>
      </c>
      <c r="R291" s="34"/>
      <c r="S291" s="34">
        <v>0</v>
      </c>
      <c r="T291" s="34"/>
      <c r="U291" s="34">
        <v>1545</v>
      </c>
      <c r="V291" s="34"/>
      <c r="W291" s="34">
        <v>774</v>
      </c>
      <c r="X291" s="34"/>
      <c r="Y291" s="34">
        <v>0</v>
      </c>
      <c r="Z291" s="32"/>
      <c r="AA291" s="34">
        <v>0</v>
      </c>
      <c r="AB291" s="34"/>
      <c r="AC291" s="34">
        <v>0</v>
      </c>
      <c r="AD291" s="34"/>
      <c r="AE291" s="33">
        <f t="shared" si="4"/>
        <v>63045</v>
      </c>
    </row>
    <row r="292" spans="1:31" ht="12.75" customHeight="1">
      <c r="A292" s="1" t="s">
        <v>780</v>
      </c>
      <c r="C292" s="1" t="s">
        <v>151</v>
      </c>
      <c r="E292" s="34">
        <v>5092</v>
      </c>
      <c r="F292" s="34"/>
      <c r="G292" s="34">
        <v>1105</v>
      </c>
      <c r="H292" s="34"/>
      <c r="I292" s="34">
        <v>0</v>
      </c>
      <c r="J292" s="34"/>
      <c r="K292" s="34">
        <v>0</v>
      </c>
      <c r="L292" s="34"/>
      <c r="M292" s="34">
        <v>0</v>
      </c>
      <c r="N292" s="34"/>
      <c r="O292" s="34">
        <v>0</v>
      </c>
      <c r="P292" s="34"/>
      <c r="Q292" s="34">
        <v>8260</v>
      </c>
      <c r="R292" s="34"/>
      <c r="S292" s="34">
        <v>0</v>
      </c>
      <c r="T292" s="34"/>
      <c r="U292" s="34">
        <v>0</v>
      </c>
      <c r="V292" s="34"/>
      <c r="W292" s="34">
        <v>0</v>
      </c>
      <c r="X292" s="34"/>
      <c r="Y292" s="34">
        <v>0</v>
      </c>
      <c r="Z292" s="32"/>
      <c r="AA292" s="34">
        <v>0</v>
      </c>
      <c r="AB292" s="34"/>
      <c r="AC292" s="34">
        <v>0</v>
      </c>
      <c r="AD292" s="34"/>
      <c r="AE292" s="33">
        <f t="shared" si="4"/>
        <v>14457</v>
      </c>
    </row>
    <row r="293" spans="1:31" ht="12.75" customHeight="1">
      <c r="A293" s="1" t="s">
        <v>615</v>
      </c>
      <c r="C293" s="1" t="s">
        <v>231</v>
      </c>
      <c r="E293" s="34">
        <v>60334</v>
      </c>
      <c r="F293" s="34"/>
      <c r="G293" s="34">
        <v>4017</v>
      </c>
      <c r="H293" s="34"/>
      <c r="I293" s="34">
        <v>0</v>
      </c>
      <c r="J293" s="34"/>
      <c r="K293" s="34">
        <v>1385</v>
      </c>
      <c r="L293" s="34"/>
      <c r="M293" s="34">
        <v>0</v>
      </c>
      <c r="N293" s="34"/>
      <c r="O293" s="34">
        <v>0</v>
      </c>
      <c r="P293" s="34"/>
      <c r="Q293" s="34">
        <v>113778</v>
      </c>
      <c r="R293" s="34"/>
      <c r="S293" s="34">
        <v>28373</v>
      </c>
      <c r="T293" s="34"/>
      <c r="U293" s="34">
        <v>7162</v>
      </c>
      <c r="V293" s="34"/>
      <c r="W293" s="34">
        <v>3774</v>
      </c>
      <c r="X293" s="34"/>
      <c r="Y293" s="34">
        <v>30600</v>
      </c>
      <c r="Z293" s="32"/>
      <c r="AA293" s="34">
        <v>0</v>
      </c>
      <c r="AB293" s="34"/>
      <c r="AC293" s="34">
        <v>0</v>
      </c>
      <c r="AD293" s="34"/>
      <c r="AE293" s="33">
        <f t="shared" si="4"/>
        <v>249423</v>
      </c>
    </row>
    <row r="294" spans="1:31" ht="12.75" customHeight="1">
      <c r="A294" s="1" t="s">
        <v>265</v>
      </c>
      <c r="C294" s="1" t="s">
        <v>197</v>
      </c>
      <c r="E294" s="34">
        <v>963903</v>
      </c>
      <c r="F294" s="34"/>
      <c r="G294" s="34">
        <v>11245</v>
      </c>
      <c r="H294" s="34"/>
      <c r="I294" s="34">
        <v>2717</v>
      </c>
      <c r="J294" s="34"/>
      <c r="K294" s="34">
        <v>0</v>
      </c>
      <c r="L294" s="34"/>
      <c r="M294" s="34">
        <v>63015</v>
      </c>
      <c r="N294" s="34"/>
      <c r="O294" s="34">
        <v>295643</v>
      </c>
      <c r="P294" s="34"/>
      <c r="Q294" s="34">
        <v>200047</v>
      </c>
      <c r="R294" s="34"/>
      <c r="S294" s="34">
        <v>40551</v>
      </c>
      <c r="T294" s="34"/>
      <c r="U294" s="34">
        <v>0</v>
      </c>
      <c r="V294" s="34"/>
      <c r="W294" s="34">
        <v>0</v>
      </c>
      <c r="X294" s="34"/>
      <c r="Y294" s="34">
        <v>130000</v>
      </c>
      <c r="Z294" s="34"/>
      <c r="AA294" s="34">
        <v>0</v>
      </c>
      <c r="AB294" s="32"/>
      <c r="AC294" s="34">
        <v>0</v>
      </c>
      <c r="AD294" s="34"/>
      <c r="AE294" s="33">
        <f t="shared" si="4"/>
        <v>1707121</v>
      </c>
    </row>
    <row r="295" spans="1:31" ht="12.75" customHeight="1">
      <c r="A295" s="1" t="s">
        <v>450</v>
      </c>
      <c r="C295" s="1" t="s">
        <v>447</v>
      </c>
      <c r="E295" s="34">
        <v>4989</v>
      </c>
      <c r="F295" s="34"/>
      <c r="G295" s="34">
        <v>475</v>
      </c>
      <c r="H295" s="34"/>
      <c r="I295" s="34">
        <v>0</v>
      </c>
      <c r="J295" s="34"/>
      <c r="K295" s="34">
        <v>1860</v>
      </c>
      <c r="L295" s="34"/>
      <c r="M295" s="34">
        <v>0</v>
      </c>
      <c r="N295" s="34"/>
      <c r="O295" s="34">
        <v>0</v>
      </c>
      <c r="P295" s="34"/>
      <c r="Q295" s="34">
        <v>31223</v>
      </c>
      <c r="R295" s="34"/>
      <c r="S295" s="34">
        <v>18698</v>
      </c>
      <c r="T295" s="34"/>
      <c r="U295" s="34">
        <v>0</v>
      </c>
      <c r="V295" s="34"/>
      <c r="W295" s="34">
        <v>0</v>
      </c>
      <c r="X295" s="34"/>
      <c r="Y295" s="34">
        <v>0</v>
      </c>
      <c r="Z295" s="32"/>
      <c r="AA295" s="34">
        <v>0</v>
      </c>
      <c r="AB295" s="34"/>
      <c r="AC295" s="34">
        <v>0</v>
      </c>
      <c r="AD295" s="34"/>
      <c r="AE295" s="33">
        <f t="shared" si="4"/>
        <v>57245</v>
      </c>
    </row>
    <row r="296" spans="1:31" ht="12.75" customHeight="1">
      <c r="A296" s="1" t="s">
        <v>624</v>
      </c>
      <c r="C296" s="1" t="s">
        <v>228</v>
      </c>
      <c r="E296" s="34">
        <v>177353</v>
      </c>
      <c r="F296" s="34"/>
      <c r="G296" s="34">
        <v>5306</v>
      </c>
      <c r="H296" s="34"/>
      <c r="I296" s="34">
        <v>26721</v>
      </c>
      <c r="J296" s="34"/>
      <c r="K296" s="34">
        <v>96089</v>
      </c>
      <c r="L296" s="34"/>
      <c r="M296" s="34">
        <v>103196</v>
      </c>
      <c r="N296" s="34"/>
      <c r="O296" s="34">
        <v>1350</v>
      </c>
      <c r="P296" s="34"/>
      <c r="Q296" s="34">
        <v>489246</v>
      </c>
      <c r="R296" s="34"/>
      <c r="S296" s="34">
        <v>0</v>
      </c>
      <c r="T296" s="34"/>
      <c r="U296" s="34">
        <v>0</v>
      </c>
      <c r="V296" s="34"/>
      <c r="W296" s="34">
        <v>0</v>
      </c>
      <c r="X296" s="34"/>
      <c r="Y296" s="34">
        <v>82460</v>
      </c>
      <c r="Z296" s="32"/>
      <c r="AA296" s="34">
        <v>0</v>
      </c>
      <c r="AB296" s="34"/>
      <c r="AC296" s="34">
        <v>736</v>
      </c>
      <c r="AD296" s="34"/>
      <c r="AE296" s="33">
        <f t="shared" si="4"/>
        <v>982457</v>
      </c>
    </row>
    <row r="297" spans="1:31" ht="12.75" customHeight="1">
      <c r="A297" s="1" t="s">
        <v>266</v>
      </c>
      <c r="C297" s="1" t="s">
        <v>197</v>
      </c>
      <c r="E297" s="34">
        <v>41195</v>
      </c>
      <c r="F297" s="34"/>
      <c r="G297" s="34">
        <v>0</v>
      </c>
      <c r="H297" s="34"/>
      <c r="I297" s="34">
        <v>0</v>
      </c>
      <c r="J297" s="34"/>
      <c r="K297" s="34">
        <v>0</v>
      </c>
      <c r="L297" s="34"/>
      <c r="M297" s="34">
        <v>0</v>
      </c>
      <c r="N297" s="34"/>
      <c r="O297" s="34">
        <v>0</v>
      </c>
      <c r="P297" s="34"/>
      <c r="Q297" s="34">
        <v>10118</v>
      </c>
      <c r="R297" s="34"/>
      <c r="S297" s="34">
        <v>0</v>
      </c>
      <c r="T297" s="34"/>
      <c r="U297" s="34">
        <v>0</v>
      </c>
      <c r="V297" s="34"/>
      <c r="W297" s="34">
        <v>0</v>
      </c>
      <c r="X297" s="34"/>
      <c r="Y297" s="34">
        <v>0</v>
      </c>
      <c r="Z297" s="34"/>
      <c r="AA297" s="34">
        <v>0</v>
      </c>
      <c r="AB297" s="32"/>
      <c r="AC297" s="34">
        <v>26996</v>
      </c>
      <c r="AD297" s="34"/>
      <c r="AE297" s="33">
        <f t="shared" si="4"/>
        <v>78309</v>
      </c>
    </row>
    <row r="298" spans="1:31" ht="12.75" customHeight="1">
      <c r="A298" s="1" t="s">
        <v>619</v>
      </c>
      <c r="C298" s="1" t="s">
        <v>369</v>
      </c>
      <c r="E298" s="34">
        <v>234279</v>
      </c>
      <c r="F298" s="34"/>
      <c r="G298" s="34">
        <v>0</v>
      </c>
      <c r="H298" s="34"/>
      <c r="I298" s="34">
        <v>0</v>
      </c>
      <c r="J298" s="34"/>
      <c r="K298" s="34">
        <v>10495</v>
      </c>
      <c r="L298" s="34"/>
      <c r="M298" s="34">
        <v>3321</v>
      </c>
      <c r="N298" s="34"/>
      <c r="O298" s="34">
        <v>3668</v>
      </c>
      <c r="P298" s="34"/>
      <c r="Q298" s="34">
        <v>129805</v>
      </c>
      <c r="R298" s="34"/>
      <c r="S298" s="34">
        <v>0</v>
      </c>
      <c r="T298" s="34"/>
      <c r="U298" s="34">
        <v>0</v>
      </c>
      <c r="V298" s="34"/>
      <c r="W298" s="34">
        <v>0</v>
      </c>
      <c r="X298" s="34"/>
      <c r="Y298" s="34">
        <v>0</v>
      </c>
      <c r="Z298" s="32"/>
      <c r="AA298" s="34">
        <v>0</v>
      </c>
      <c r="AB298" s="34"/>
      <c r="AC298" s="34">
        <v>0</v>
      </c>
      <c r="AD298" s="34"/>
      <c r="AE298" s="33">
        <f t="shared" si="4"/>
        <v>381568</v>
      </c>
    </row>
    <row r="299" spans="1:31" ht="12.75" customHeight="1">
      <c r="A299" s="1" t="s">
        <v>267</v>
      </c>
      <c r="C299" s="1" t="s">
        <v>268</v>
      </c>
      <c r="E299" s="34">
        <v>41951</v>
      </c>
      <c r="F299" s="34"/>
      <c r="G299" s="34">
        <v>2606</v>
      </c>
      <c r="H299" s="34"/>
      <c r="I299" s="34">
        <v>7269</v>
      </c>
      <c r="J299" s="34"/>
      <c r="K299" s="34">
        <v>0</v>
      </c>
      <c r="L299" s="34"/>
      <c r="M299" s="34">
        <v>0</v>
      </c>
      <c r="N299" s="34"/>
      <c r="O299" s="34">
        <v>27915</v>
      </c>
      <c r="P299" s="34"/>
      <c r="Q299" s="34">
        <v>28655</v>
      </c>
      <c r="R299" s="34"/>
      <c r="S299" s="34">
        <v>2000</v>
      </c>
      <c r="T299" s="34"/>
      <c r="U299" s="34">
        <v>0</v>
      </c>
      <c r="V299" s="34"/>
      <c r="W299" s="34">
        <v>0</v>
      </c>
      <c r="X299" s="34"/>
      <c r="Y299" s="34">
        <v>7887</v>
      </c>
      <c r="Z299" s="34"/>
      <c r="AA299" s="34">
        <v>0</v>
      </c>
      <c r="AB299" s="32"/>
      <c r="AC299" s="34">
        <v>0</v>
      </c>
      <c r="AD299" s="34"/>
      <c r="AE299" s="33">
        <f t="shared" si="4"/>
        <v>118283</v>
      </c>
    </row>
    <row r="300" spans="1:31" ht="12.75" customHeight="1">
      <c r="A300" s="1" t="s">
        <v>680</v>
      </c>
      <c r="C300" s="1" t="s">
        <v>82</v>
      </c>
      <c r="E300" s="34">
        <v>4330</v>
      </c>
      <c r="F300" s="34"/>
      <c r="G300" s="34">
        <v>65</v>
      </c>
      <c r="H300" s="34"/>
      <c r="I300" s="34">
        <v>0</v>
      </c>
      <c r="J300" s="34"/>
      <c r="K300" s="34">
        <v>0</v>
      </c>
      <c r="L300" s="34"/>
      <c r="M300" s="34">
        <v>0</v>
      </c>
      <c r="N300" s="34"/>
      <c r="O300" s="34">
        <v>0</v>
      </c>
      <c r="P300" s="34"/>
      <c r="Q300" s="34">
        <v>28811</v>
      </c>
      <c r="R300" s="34"/>
      <c r="S300" s="34">
        <v>0</v>
      </c>
      <c r="T300" s="34"/>
      <c r="U300" s="34">
        <v>0</v>
      </c>
      <c r="V300" s="34"/>
      <c r="W300" s="34">
        <v>0</v>
      </c>
      <c r="X300" s="34"/>
      <c r="Y300" s="34">
        <v>20000</v>
      </c>
      <c r="Z300" s="32"/>
      <c r="AA300" s="34">
        <v>4000</v>
      </c>
      <c r="AB300" s="34"/>
      <c r="AC300" s="34">
        <v>0</v>
      </c>
      <c r="AD300" s="34"/>
      <c r="AE300" s="33">
        <f t="shared" si="4"/>
        <v>57206</v>
      </c>
    </row>
    <row r="301" spans="1:31" ht="12.75" customHeight="1">
      <c r="A301" s="1" t="s">
        <v>655</v>
      </c>
      <c r="C301" s="1" t="s">
        <v>155</v>
      </c>
      <c r="E301" s="34">
        <v>17924</v>
      </c>
      <c r="F301" s="34"/>
      <c r="G301" s="34">
        <v>0</v>
      </c>
      <c r="H301" s="34"/>
      <c r="I301" s="34">
        <v>1660</v>
      </c>
      <c r="J301" s="34"/>
      <c r="K301" s="34">
        <v>200</v>
      </c>
      <c r="L301" s="34"/>
      <c r="M301" s="34">
        <v>3124</v>
      </c>
      <c r="N301" s="34"/>
      <c r="O301" s="34">
        <v>300</v>
      </c>
      <c r="P301" s="34"/>
      <c r="Q301" s="34">
        <v>34608</v>
      </c>
      <c r="R301" s="34"/>
      <c r="S301" s="34">
        <v>0</v>
      </c>
      <c r="T301" s="34"/>
      <c r="U301" s="34">
        <v>0</v>
      </c>
      <c r="V301" s="34"/>
      <c r="W301" s="34">
        <v>0</v>
      </c>
      <c r="X301" s="34"/>
      <c r="Y301" s="34">
        <v>0</v>
      </c>
      <c r="Z301" s="32"/>
      <c r="AA301" s="34">
        <v>0</v>
      </c>
      <c r="AB301" s="34"/>
      <c r="AC301" s="34">
        <v>640</v>
      </c>
      <c r="AD301" s="34"/>
      <c r="AE301" s="33">
        <f t="shared" si="4"/>
        <v>58456</v>
      </c>
    </row>
    <row r="302" spans="1:31" ht="12.75" customHeight="1">
      <c r="A302" s="1" t="s">
        <v>590</v>
      </c>
      <c r="C302" s="1" t="s">
        <v>591</v>
      </c>
      <c r="E302" s="34">
        <v>187196</v>
      </c>
      <c r="F302" s="34"/>
      <c r="G302" s="34">
        <v>0</v>
      </c>
      <c r="H302" s="34"/>
      <c r="I302" s="34">
        <v>0</v>
      </c>
      <c r="J302" s="34"/>
      <c r="K302" s="34">
        <v>0</v>
      </c>
      <c r="L302" s="34"/>
      <c r="M302" s="34">
        <v>7100</v>
      </c>
      <c r="N302" s="34"/>
      <c r="O302" s="34">
        <v>0</v>
      </c>
      <c r="P302" s="34"/>
      <c r="Q302" s="34">
        <v>62347</v>
      </c>
      <c r="R302" s="34"/>
      <c r="S302" s="34">
        <v>0</v>
      </c>
      <c r="T302" s="34"/>
      <c r="U302" s="34">
        <v>0</v>
      </c>
      <c r="V302" s="34"/>
      <c r="W302" s="34">
        <v>0</v>
      </c>
      <c r="X302" s="34"/>
      <c r="Y302" s="34">
        <v>1000</v>
      </c>
      <c r="Z302" s="32"/>
      <c r="AA302" s="34">
        <v>0</v>
      </c>
      <c r="AB302" s="34"/>
      <c r="AC302" s="34">
        <v>0</v>
      </c>
      <c r="AD302" s="34"/>
      <c r="AE302" s="33">
        <f t="shared" si="4"/>
        <v>257643</v>
      </c>
    </row>
    <row r="303" spans="1:31" ht="12.75" customHeight="1">
      <c r="A303" s="1" t="s">
        <v>269</v>
      </c>
      <c r="C303" s="1" t="s">
        <v>194</v>
      </c>
      <c r="E303" s="34">
        <v>7177</v>
      </c>
      <c r="F303" s="34"/>
      <c r="G303" s="34">
        <v>0</v>
      </c>
      <c r="H303" s="34"/>
      <c r="I303" s="34">
        <v>0</v>
      </c>
      <c r="J303" s="34"/>
      <c r="K303" s="34">
        <v>0</v>
      </c>
      <c r="L303" s="34"/>
      <c r="M303" s="34">
        <v>37804</v>
      </c>
      <c r="N303" s="34"/>
      <c r="O303" s="34">
        <v>0</v>
      </c>
      <c r="P303" s="34"/>
      <c r="Q303" s="34">
        <v>17898</v>
      </c>
      <c r="R303" s="34"/>
      <c r="S303" s="34">
        <v>0</v>
      </c>
      <c r="T303" s="34"/>
      <c r="U303" s="34">
        <v>0</v>
      </c>
      <c r="V303" s="34"/>
      <c r="W303" s="34">
        <v>0</v>
      </c>
      <c r="X303" s="34"/>
      <c r="Y303" s="34">
        <v>0</v>
      </c>
      <c r="Z303" s="34"/>
      <c r="AA303" s="34">
        <v>0</v>
      </c>
      <c r="AB303" s="32"/>
      <c r="AC303" s="34">
        <v>0</v>
      </c>
      <c r="AD303" s="34"/>
      <c r="AE303" s="33">
        <f t="shared" si="4"/>
        <v>62879</v>
      </c>
    </row>
    <row r="304" spans="1:31" ht="12.75" customHeight="1">
      <c r="A304" s="1" t="s">
        <v>588</v>
      </c>
      <c r="C304" s="1" t="s">
        <v>247</v>
      </c>
      <c r="E304" s="34">
        <v>160823</v>
      </c>
      <c r="F304" s="34"/>
      <c r="G304" s="34">
        <v>2593</v>
      </c>
      <c r="H304" s="34"/>
      <c r="I304" s="34">
        <v>0</v>
      </c>
      <c r="J304" s="34"/>
      <c r="K304" s="34">
        <v>0</v>
      </c>
      <c r="L304" s="34"/>
      <c r="M304" s="34">
        <v>132</v>
      </c>
      <c r="N304" s="34"/>
      <c r="O304" s="34">
        <v>651</v>
      </c>
      <c r="P304" s="34"/>
      <c r="Q304" s="34">
        <v>123389</v>
      </c>
      <c r="R304" s="34"/>
      <c r="S304" s="34">
        <v>0</v>
      </c>
      <c r="T304" s="34"/>
      <c r="U304" s="34">
        <v>0</v>
      </c>
      <c r="V304" s="34"/>
      <c r="W304" s="34">
        <v>0</v>
      </c>
      <c r="X304" s="34"/>
      <c r="Y304" s="34">
        <v>10922</v>
      </c>
      <c r="Z304" s="32"/>
      <c r="AA304" s="34">
        <v>0</v>
      </c>
      <c r="AB304" s="34"/>
      <c r="AC304" s="34">
        <v>102667</v>
      </c>
      <c r="AD304" s="34"/>
      <c r="AE304" s="33">
        <f t="shared" si="4"/>
        <v>401177</v>
      </c>
    </row>
    <row r="305" spans="1:31" ht="12.75" customHeight="1">
      <c r="A305" s="1" t="s">
        <v>482</v>
      </c>
      <c r="C305" s="1" t="s">
        <v>153</v>
      </c>
      <c r="E305" s="34">
        <v>2579</v>
      </c>
      <c r="F305" s="34"/>
      <c r="G305" s="34">
        <v>954</v>
      </c>
      <c r="H305" s="34"/>
      <c r="I305" s="34">
        <v>4759</v>
      </c>
      <c r="J305" s="34"/>
      <c r="K305" s="34">
        <v>0</v>
      </c>
      <c r="L305" s="34"/>
      <c r="M305" s="34">
        <v>0</v>
      </c>
      <c r="N305" s="34"/>
      <c r="O305" s="34">
        <v>2911</v>
      </c>
      <c r="P305" s="34"/>
      <c r="Q305" s="34">
        <v>18540</v>
      </c>
      <c r="R305" s="34"/>
      <c r="S305" s="34">
        <v>4000</v>
      </c>
      <c r="T305" s="34"/>
      <c r="U305" s="34">
        <v>0</v>
      </c>
      <c r="V305" s="34"/>
      <c r="W305" s="34">
        <v>0</v>
      </c>
      <c r="X305" s="34"/>
      <c r="Y305" s="34">
        <v>0</v>
      </c>
      <c r="Z305" s="32"/>
      <c r="AA305" s="34">
        <v>0</v>
      </c>
      <c r="AB305" s="34"/>
      <c r="AC305" s="34">
        <v>0</v>
      </c>
      <c r="AD305" s="34"/>
      <c r="AE305" s="33">
        <f t="shared" si="4"/>
        <v>33743</v>
      </c>
    </row>
    <row r="306" spans="1:31" ht="12.75" customHeight="1">
      <c r="A306" s="1" t="s">
        <v>505</v>
      </c>
      <c r="C306" s="1" t="s">
        <v>414</v>
      </c>
      <c r="E306" s="34">
        <v>324733</v>
      </c>
      <c r="F306" s="34"/>
      <c r="G306" s="34">
        <v>0</v>
      </c>
      <c r="H306" s="34"/>
      <c r="I306" s="34">
        <v>2642</v>
      </c>
      <c r="J306" s="34"/>
      <c r="K306" s="34">
        <v>0</v>
      </c>
      <c r="L306" s="34"/>
      <c r="M306" s="34">
        <v>0</v>
      </c>
      <c r="N306" s="34"/>
      <c r="O306" s="34">
        <v>0</v>
      </c>
      <c r="P306" s="34"/>
      <c r="Q306" s="34">
        <v>98649</v>
      </c>
      <c r="R306" s="34"/>
      <c r="S306" s="34">
        <v>0</v>
      </c>
      <c r="T306" s="34"/>
      <c r="U306" s="34">
        <v>4000</v>
      </c>
      <c r="V306" s="34"/>
      <c r="W306" s="34">
        <v>797</v>
      </c>
      <c r="X306" s="34"/>
      <c r="Y306" s="34">
        <v>85</v>
      </c>
      <c r="Z306" s="32"/>
      <c r="AA306" s="34">
        <v>0</v>
      </c>
      <c r="AB306" s="34"/>
      <c r="AC306" s="34">
        <v>0</v>
      </c>
      <c r="AD306" s="34"/>
      <c r="AE306" s="33">
        <f t="shared" si="4"/>
        <v>430906</v>
      </c>
    </row>
    <row r="307" spans="1:31" ht="12.75" customHeight="1">
      <c r="A307" s="1" t="s">
        <v>787</v>
      </c>
      <c r="C307" s="1" t="s">
        <v>110</v>
      </c>
      <c r="E307" s="34">
        <v>186905</v>
      </c>
      <c r="F307" s="34"/>
      <c r="G307" s="34">
        <v>2636</v>
      </c>
      <c r="H307" s="34"/>
      <c r="I307" s="34">
        <v>109860</v>
      </c>
      <c r="J307" s="34"/>
      <c r="K307" s="34">
        <v>544521</v>
      </c>
      <c r="L307" s="34"/>
      <c r="M307" s="34">
        <v>0</v>
      </c>
      <c r="N307" s="34"/>
      <c r="O307" s="34">
        <v>0</v>
      </c>
      <c r="P307" s="34"/>
      <c r="Q307" s="34">
        <v>299292</v>
      </c>
      <c r="R307" s="34"/>
      <c r="S307" s="34">
        <v>0</v>
      </c>
      <c r="T307" s="34"/>
      <c r="U307" s="34">
        <v>196000</v>
      </c>
      <c r="V307" s="34"/>
      <c r="W307" s="34">
        <v>20156</v>
      </c>
      <c r="X307" s="34"/>
      <c r="Y307" s="34">
        <v>1005571</v>
      </c>
      <c r="Z307" s="34"/>
      <c r="AA307" s="34">
        <v>0</v>
      </c>
      <c r="AB307" s="32"/>
      <c r="AC307" s="34">
        <v>82905</v>
      </c>
      <c r="AD307" s="34"/>
      <c r="AE307" s="33">
        <f t="shared" si="4"/>
        <v>2447846</v>
      </c>
    </row>
    <row r="308" spans="1:31" ht="12.75" customHeight="1">
      <c r="A308" s="1" t="s">
        <v>224</v>
      </c>
      <c r="C308" s="1" t="s">
        <v>225</v>
      </c>
      <c r="E308" s="34">
        <v>616944</v>
      </c>
      <c r="F308" s="34"/>
      <c r="G308" s="34">
        <v>5474</v>
      </c>
      <c r="H308" s="34"/>
      <c r="I308" s="34">
        <v>0</v>
      </c>
      <c r="J308" s="34"/>
      <c r="K308" s="34">
        <v>9626</v>
      </c>
      <c r="L308" s="34"/>
      <c r="M308" s="34">
        <v>0</v>
      </c>
      <c r="N308" s="34"/>
      <c r="O308" s="34">
        <v>2664</v>
      </c>
      <c r="P308" s="34"/>
      <c r="Q308" s="34">
        <v>174252</v>
      </c>
      <c r="R308" s="34"/>
      <c r="S308" s="34">
        <v>136575</v>
      </c>
      <c r="T308" s="34"/>
      <c r="U308" s="34">
        <v>6028</v>
      </c>
      <c r="V308" s="34"/>
      <c r="W308" s="34">
        <v>0</v>
      </c>
      <c r="X308" s="34"/>
      <c r="Y308" s="34">
        <v>40516</v>
      </c>
      <c r="Z308" s="34"/>
      <c r="AA308" s="34">
        <v>0</v>
      </c>
      <c r="AB308" s="32"/>
      <c r="AC308" s="34">
        <v>5560</v>
      </c>
      <c r="AD308" s="34"/>
      <c r="AE308" s="33">
        <f t="shared" si="4"/>
        <v>997639</v>
      </c>
    </row>
    <row r="309" spans="1:31" ht="12.75" customHeight="1">
      <c r="A309" s="1" t="s">
        <v>660</v>
      </c>
      <c r="C309" s="1" t="s">
        <v>80</v>
      </c>
      <c r="E309" s="34">
        <v>7059</v>
      </c>
      <c r="F309" s="34"/>
      <c r="G309" s="34">
        <v>584</v>
      </c>
      <c r="H309" s="34"/>
      <c r="I309" s="34">
        <v>0</v>
      </c>
      <c r="J309" s="34"/>
      <c r="K309" s="34">
        <v>0</v>
      </c>
      <c r="L309" s="34"/>
      <c r="M309" s="34">
        <v>2425</v>
      </c>
      <c r="N309" s="34"/>
      <c r="O309" s="34">
        <v>0</v>
      </c>
      <c r="P309" s="34"/>
      <c r="Q309" s="34">
        <v>6458</v>
      </c>
      <c r="R309" s="34"/>
      <c r="S309" s="34">
        <v>0</v>
      </c>
      <c r="T309" s="34"/>
      <c r="U309" s="34">
        <v>0</v>
      </c>
      <c r="V309" s="34"/>
      <c r="W309" s="34">
        <v>0</v>
      </c>
      <c r="X309" s="34"/>
      <c r="Y309" s="34">
        <v>0</v>
      </c>
      <c r="Z309" s="32"/>
      <c r="AA309" s="34">
        <v>0</v>
      </c>
      <c r="AB309" s="34"/>
      <c r="AC309" s="34">
        <v>0</v>
      </c>
      <c r="AD309" s="34"/>
      <c r="AE309" s="33">
        <f t="shared" si="4"/>
        <v>16526</v>
      </c>
    </row>
    <row r="310" spans="1:31" ht="12.75" customHeight="1">
      <c r="A310" s="1" t="s">
        <v>270</v>
      </c>
      <c r="C310" s="1" t="s">
        <v>147</v>
      </c>
      <c r="E310" s="34">
        <v>768265</v>
      </c>
      <c r="F310" s="34"/>
      <c r="G310" s="34">
        <v>0</v>
      </c>
      <c r="H310" s="34"/>
      <c r="I310" s="34">
        <v>182159</v>
      </c>
      <c r="J310" s="34"/>
      <c r="K310" s="34">
        <v>55562</v>
      </c>
      <c r="L310" s="34"/>
      <c r="M310" s="34">
        <v>0</v>
      </c>
      <c r="N310" s="34"/>
      <c r="O310" s="34">
        <v>0</v>
      </c>
      <c r="P310" s="34"/>
      <c r="Q310" s="34">
        <v>555969</v>
      </c>
      <c r="R310" s="34"/>
      <c r="S310" s="34">
        <v>100496</v>
      </c>
      <c r="T310" s="34"/>
      <c r="U310" s="34">
        <v>0</v>
      </c>
      <c r="V310" s="34"/>
      <c r="W310" s="34">
        <v>0</v>
      </c>
      <c r="X310" s="34"/>
      <c r="Y310" s="34">
        <v>291650</v>
      </c>
      <c r="Z310" s="34"/>
      <c r="AA310" s="34">
        <v>32000</v>
      </c>
      <c r="AB310" s="32"/>
      <c r="AC310" s="34">
        <v>0</v>
      </c>
      <c r="AD310" s="34"/>
      <c r="AE310" s="33">
        <f t="shared" si="4"/>
        <v>1986101</v>
      </c>
    </row>
    <row r="311" spans="1:31" ht="12.75" customHeight="1">
      <c r="A311" s="1" t="s">
        <v>585</v>
      </c>
      <c r="C311" s="1" t="s">
        <v>239</v>
      </c>
      <c r="E311" s="34">
        <v>49973</v>
      </c>
      <c r="F311" s="34"/>
      <c r="G311" s="34">
        <v>8863</v>
      </c>
      <c r="H311" s="34"/>
      <c r="I311" s="34">
        <v>16402</v>
      </c>
      <c r="J311" s="34"/>
      <c r="K311" s="34">
        <v>855</v>
      </c>
      <c r="L311" s="34"/>
      <c r="M311" s="34">
        <v>16828</v>
      </c>
      <c r="N311" s="34"/>
      <c r="O311" s="34">
        <v>6301</v>
      </c>
      <c r="P311" s="34"/>
      <c r="Q311" s="34">
        <v>101149</v>
      </c>
      <c r="R311" s="34"/>
      <c r="S311" s="34">
        <v>38512</v>
      </c>
      <c r="T311" s="34"/>
      <c r="U311" s="34">
        <v>0</v>
      </c>
      <c r="V311" s="34"/>
      <c r="W311" s="34">
        <v>0</v>
      </c>
      <c r="X311" s="34"/>
      <c r="Y311" s="34">
        <v>5627</v>
      </c>
      <c r="Z311" s="32"/>
      <c r="AA311" s="34">
        <v>0</v>
      </c>
      <c r="AB311" s="34"/>
      <c r="AC311" s="34">
        <v>0</v>
      </c>
      <c r="AD311" s="34"/>
      <c r="AE311" s="33">
        <f t="shared" si="4"/>
        <v>244510</v>
      </c>
    </row>
    <row r="312" spans="1:31" ht="12.75" customHeight="1">
      <c r="A312" s="1" t="s">
        <v>731</v>
      </c>
      <c r="C312" s="1" t="s">
        <v>106</v>
      </c>
      <c r="E312" s="34">
        <v>600</v>
      </c>
      <c r="F312" s="34"/>
      <c r="G312" s="34">
        <v>750</v>
      </c>
      <c r="H312" s="34"/>
      <c r="I312" s="34">
        <v>3524</v>
      </c>
      <c r="J312" s="34"/>
      <c r="K312" s="34">
        <v>0</v>
      </c>
      <c r="L312" s="34"/>
      <c r="M312" s="34">
        <v>1344</v>
      </c>
      <c r="N312" s="34"/>
      <c r="O312" s="34">
        <v>6983</v>
      </c>
      <c r="P312" s="34"/>
      <c r="Q312" s="34">
        <v>8329</v>
      </c>
      <c r="R312" s="34"/>
      <c r="S312" s="34">
        <v>0</v>
      </c>
      <c r="T312" s="34"/>
      <c r="U312" s="34">
        <v>0</v>
      </c>
      <c r="V312" s="34"/>
      <c r="W312" s="34">
        <v>0</v>
      </c>
      <c r="X312" s="34"/>
      <c r="Y312" s="34">
        <v>0</v>
      </c>
      <c r="Z312" s="32"/>
      <c r="AA312" s="34">
        <v>0</v>
      </c>
      <c r="AB312" s="34"/>
      <c r="AC312" s="34">
        <v>0</v>
      </c>
      <c r="AD312" s="34"/>
      <c r="AE312" s="33">
        <f t="shared" si="4"/>
        <v>21530</v>
      </c>
    </row>
    <row r="313" spans="1:31" ht="12.75" customHeight="1">
      <c r="A313" s="1" t="s">
        <v>271</v>
      </c>
      <c r="C313" s="1" t="s">
        <v>73</v>
      </c>
      <c r="E313" s="34">
        <v>603091</v>
      </c>
      <c r="F313" s="34"/>
      <c r="G313" s="34">
        <v>1550</v>
      </c>
      <c r="H313" s="34"/>
      <c r="I313" s="34">
        <v>0</v>
      </c>
      <c r="J313" s="34"/>
      <c r="K313" s="34">
        <v>15869</v>
      </c>
      <c r="L313" s="34"/>
      <c r="M313" s="34">
        <v>0</v>
      </c>
      <c r="N313" s="34"/>
      <c r="O313" s="34">
        <v>0</v>
      </c>
      <c r="P313" s="34"/>
      <c r="Q313" s="34">
        <v>935771</v>
      </c>
      <c r="R313" s="34"/>
      <c r="S313" s="34">
        <v>0</v>
      </c>
      <c r="T313" s="34"/>
      <c r="U313" s="34">
        <v>200000</v>
      </c>
      <c r="V313" s="34"/>
      <c r="W313" s="34">
        <v>2347</v>
      </c>
      <c r="X313" s="34"/>
      <c r="Y313" s="34">
        <v>117940</v>
      </c>
      <c r="Z313" s="34"/>
      <c r="AA313" s="34">
        <v>0</v>
      </c>
      <c r="AB313" s="32"/>
      <c r="AC313" s="34">
        <v>0</v>
      </c>
      <c r="AD313" s="34"/>
      <c r="AE313" s="33">
        <f t="shared" si="4"/>
        <v>1876568</v>
      </c>
    </row>
    <row r="314" spans="1:31" ht="12.75" customHeight="1">
      <c r="A314" s="1" t="s">
        <v>719</v>
      </c>
      <c r="C314" s="1" t="s">
        <v>142</v>
      </c>
      <c r="E314" s="34">
        <v>15396</v>
      </c>
      <c r="F314" s="34"/>
      <c r="G314" s="34">
        <v>269</v>
      </c>
      <c r="H314" s="34"/>
      <c r="I314" s="34">
        <v>54768</v>
      </c>
      <c r="J314" s="34"/>
      <c r="K314" s="34">
        <v>2650</v>
      </c>
      <c r="L314" s="34"/>
      <c r="M314" s="34">
        <v>3680</v>
      </c>
      <c r="N314" s="34"/>
      <c r="O314" s="34">
        <v>0</v>
      </c>
      <c r="P314" s="34"/>
      <c r="Q314" s="34">
        <v>55040</v>
      </c>
      <c r="R314" s="34"/>
      <c r="S314" s="34">
        <v>0</v>
      </c>
      <c r="T314" s="34"/>
      <c r="U314" s="34">
        <v>0</v>
      </c>
      <c r="V314" s="34"/>
      <c r="W314" s="34">
        <v>0</v>
      </c>
      <c r="X314" s="34"/>
      <c r="Y314" s="34">
        <v>0</v>
      </c>
      <c r="Z314" s="32"/>
      <c r="AA314" s="34">
        <v>0</v>
      </c>
      <c r="AB314" s="34"/>
      <c r="AC314" s="34">
        <v>240</v>
      </c>
      <c r="AD314" s="34"/>
      <c r="AE314" s="33">
        <f t="shared" si="4"/>
        <v>132043</v>
      </c>
    </row>
    <row r="315" spans="1:31" ht="12.75" customHeight="1">
      <c r="A315" s="1" t="s">
        <v>517</v>
      </c>
      <c r="C315" s="1" t="s">
        <v>112</v>
      </c>
      <c r="E315" s="34">
        <v>450843</v>
      </c>
      <c r="F315" s="34"/>
      <c r="G315" s="34">
        <v>181</v>
      </c>
      <c r="H315" s="34"/>
      <c r="I315" s="34">
        <v>3109</v>
      </c>
      <c r="J315" s="34"/>
      <c r="K315" s="34">
        <v>2430</v>
      </c>
      <c r="L315" s="34"/>
      <c r="M315" s="34">
        <v>18696</v>
      </c>
      <c r="N315" s="34"/>
      <c r="O315" s="34">
        <v>50880</v>
      </c>
      <c r="P315" s="34"/>
      <c r="Q315" s="34">
        <v>277901</v>
      </c>
      <c r="R315" s="34"/>
      <c r="S315" s="34">
        <v>0</v>
      </c>
      <c r="T315" s="34"/>
      <c r="U315" s="34">
        <v>0</v>
      </c>
      <c r="V315" s="34"/>
      <c r="W315" s="34">
        <v>0</v>
      </c>
      <c r="X315" s="34"/>
      <c r="Y315" s="34">
        <v>45000</v>
      </c>
      <c r="Z315" s="32"/>
      <c r="AA315" s="34">
        <v>3400</v>
      </c>
      <c r="AB315" s="34"/>
      <c r="AC315" s="34">
        <v>0</v>
      </c>
      <c r="AD315" s="34"/>
      <c r="AE315" s="33">
        <f t="shared" si="4"/>
        <v>852440</v>
      </c>
    </row>
    <row r="316" spans="1:31" ht="12.75" customHeight="1">
      <c r="A316" s="1" t="s">
        <v>506</v>
      </c>
      <c r="C316" s="1" t="s">
        <v>414</v>
      </c>
      <c r="E316" s="34">
        <v>667640</v>
      </c>
      <c r="F316" s="34"/>
      <c r="G316" s="34">
        <v>0</v>
      </c>
      <c r="H316" s="34"/>
      <c r="I316" s="34">
        <v>16478</v>
      </c>
      <c r="J316" s="34"/>
      <c r="K316" s="34">
        <v>39410</v>
      </c>
      <c r="L316" s="34"/>
      <c r="M316" s="34">
        <v>0</v>
      </c>
      <c r="N316" s="34"/>
      <c r="O316" s="34">
        <v>1310</v>
      </c>
      <c r="P316" s="34"/>
      <c r="Q316" s="34">
        <v>256926</v>
      </c>
      <c r="R316" s="34"/>
      <c r="S316" s="34">
        <v>0</v>
      </c>
      <c r="T316" s="34"/>
      <c r="U316" s="34">
        <v>0</v>
      </c>
      <c r="V316" s="34"/>
      <c r="W316" s="34">
        <v>0</v>
      </c>
      <c r="X316" s="34"/>
      <c r="Y316" s="34">
        <v>333</v>
      </c>
      <c r="Z316" s="32"/>
      <c r="AA316" s="34">
        <v>30000</v>
      </c>
      <c r="AB316" s="34"/>
      <c r="AC316" s="34">
        <v>6969</v>
      </c>
      <c r="AD316" s="34"/>
      <c r="AE316" s="33">
        <f t="shared" si="4"/>
        <v>1019066</v>
      </c>
    </row>
    <row r="317" spans="1:31" ht="12.75" customHeight="1">
      <c r="A317" s="1" t="s">
        <v>543</v>
      </c>
      <c r="C317" s="1" t="s">
        <v>149</v>
      </c>
      <c r="E317" s="34">
        <v>0</v>
      </c>
      <c r="F317" s="34"/>
      <c r="G317" s="34">
        <v>0</v>
      </c>
      <c r="H317" s="34"/>
      <c r="I317" s="34">
        <v>11921</v>
      </c>
      <c r="J317" s="34"/>
      <c r="K317" s="34">
        <v>800</v>
      </c>
      <c r="L317" s="34"/>
      <c r="M317" s="34">
        <v>10706</v>
      </c>
      <c r="N317" s="34"/>
      <c r="O317" s="34">
        <v>0</v>
      </c>
      <c r="P317" s="34"/>
      <c r="Q317" s="34">
        <v>31115</v>
      </c>
      <c r="R317" s="34"/>
      <c r="S317" s="34">
        <v>0</v>
      </c>
      <c r="T317" s="34"/>
      <c r="U317" s="34">
        <v>0</v>
      </c>
      <c r="V317" s="34"/>
      <c r="W317" s="34">
        <v>0</v>
      </c>
      <c r="X317" s="34"/>
      <c r="Y317" s="34">
        <v>0</v>
      </c>
      <c r="Z317" s="32"/>
      <c r="AA317" s="34">
        <v>0</v>
      </c>
      <c r="AB317" s="34"/>
      <c r="AC317" s="34">
        <v>0</v>
      </c>
      <c r="AD317" s="34"/>
      <c r="AE317" s="33">
        <f t="shared" si="4"/>
        <v>54542</v>
      </c>
    </row>
    <row r="318" spans="1:31" ht="12.75" customHeight="1">
      <c r="A318" s="1" t="s">
        <v>272</v>
      </c>
      <c r="C318" s="1" t="s">
        <v>131</v>
      </c>
      <c r="E318" s="34">
        <v>5842</v>
      </c>
      <c r="F318" s="34"/>
      <c r="G318" s="34">
        <v>0</v>
      </c>
      <c r="H318" s="34"/>
      <c r="I318" s="34">
        <v>0</v>
      </c>
      <c r="J318" s="34"/>
      <c r="K318" s="34">
        <v>0</v>
      </c>
      <c r="L318" s="34"/>
      <c r="M318" s="34">
        <v>0</v>
      </c>
      <c r="N318" s="34"/>
      <c r="O318" s="34">
        <v>488</v>
      </c>
      <c r="P318" s="34"/>
      <c r="Q318" s="34">
        <v>14304</v>
      </c>
      <c r="R318" s="34"/>
      <c r="S318" s="34">
        <v>0</v>
      </c>
      <c r="T318" s="34"/>
      <c r="U318" s="34">
        <v>0</v>
      </c>
      <c r="V318" s="34"/>
      <c r="W318" s="34">
        <v>0</v>
      </c>
      <c r="X318" s="34"/>
      <c r="Y318" s="34">
        <v>1886</v>
      </c>
      <c r="Z318" s="34"/>
      <c r="AA318" s="34">
        <v>0</v>
      </c>
      <c r="AB318" s="32"/>
      <c r="AC318" s="34">
        <v>0</v>
      </c>
      <c r="AD318" s="34"/>
      <c r="AE318" s="33">
        <f t="shared" si="4"/>
        <v>22520</v>
      </c>
    </row>
    <row r="319" spans="1:31" ht="12.75" customHeight="1">
      <c r="A319" s="1" t="s">
        <v>568</v>
      </c>
      <c r="C319" s="1" t="s">
        <v>73</v>
      </c>
      <c r="E319" s="34">
        <v>1096433</v>
      </c>
      <c r="F319" s="34"/>
      <c r="G319" s="34">
        <v>0</v>
      </c>
      <c r="H319" s="34"/>
      <c r="I319" s="34">
        <v>18464</v>
      </c>
      <c r="J319" s="34"/>
      <c r="K319" s="34">
        <v>70578</v>
      </c>
      <c r="L319" s="34"/>
      <c r="M319" s="34">
        <v>558728</v>
      </c>
      <c r="N319" s="34"/>
      <c r="O319" s="34">
        <v>11226</v>
      </c>
      <c r="P319" s="34"/>
      <c r="Q319" s="34">
        <v>522764</v>
      </c>
      <c r="R319" s="34"/>
      <c r="S319" s="34">
        <v>0</v>
      </c>
      <c r="T319" s="34"/>
      <c r="U319" s="34">
        <v>0</v>
      </c>
      <c r="V319" s="34"/>
      <c r="W319" s="34">
        <v>0</v>
      </c>
      <c r="X319" s="34"/>
      <c r="Y319" s="34">
        <v>270949</v>
      </c>
      <c r="Z319" s="32"/>
      <c r="AA319" s="34">
        <v>0</v>
      </c>
      <c r="AB319" s="34"/>
      <c r="AC319" s="34">
        <v>0</v>
      </c>
      <c r="AD319" s="34"/>
      <c r="AE319" s="33">
        <f t="shared" si="4"/>
        <v>2549142</v>
      </c>
    </row>
    <row r="320" spans="1:31" ht="12.75" customHeight="1">
      <c r="A320" s="1" t="s">
        <v>273</v>
      </c>
      <c r="C320" s="1" t="s">
        <v>274</v>
      </c>
      <c r="E320" s="34">
        <v>449148</v>
      </c>
      <c r="F320" s="34"/>
      <c r="G320" s="34">
        <v>0</v>
      </c>
      <c r="H320" s="34"/>
      <c r="I320" s="34">
        <v>5478</v>
      </c>
      <c r="J320" s="34"/>
      <c r="K320" s="34">
        <v>11175</v>
      </c>
      <c r="L320" s="34"/>
      <c r="M320" s="34">
        <v>0</v>
      </c>
      <c r="N320" s="34"/>
      <c r="O320" s="34">
        <v>77410</v>
      </c>
      <c r="P320" s="34"/>
      <c r="Q320" s="34">
        <v>279065</v>
      </c>
      <c r="R320" s="34"/>
      <c r="S320" s="34">
        <v>0</v>
      </c>
      <c r="T320" s="34"/>
      <c r="U320" s="34">
        <v>0</v>
      </c>
      <c r="V320" s="34"/>
      <c r="W320" s="34">
        <v>0</v>
      </c>
      <c r="X320" s="34"/>
      <c r="Y320" s="34">
        <v>0</v>
      </c>
      <c r="Z320" s="34"/>
      <c r="AA320" s="34">
        <v>0</v>
      </c>
      <c r="AB320" s="32"/>
      <c r="AC320" s="34">
        <v>0</v>
      </c>
      <c r="AD320" s="34"/>
      <c r="AE320" s="33">
        <f t="shared" si="4"/>
        <v>822276</v>
      </c>
    </row>
    <row r="321" spans="1:31" ht="12.75" customHeight="1">
      <c r="A321" s="1" t="s">
        <v>275</v>
      </c>
      <c r="C321" s="1" t="s">
        <v>276</v>
      </c>
      <c r="E321" s="34">
        <v>1157281</v>
      </c>
      <c r="F321" s="34"/>
      <c r="G321" s="34">
        <v>21396</v>
      </c>
      <c r="H321" s="34"/>
      <c r="I321" s="34">
        <v>172557</v>
      </c>
      <c r="J321" s="34"/>
      <c r="K321" s="34">
        <v>109964</v>
      </c>
      <c r="L321" s="34"/>
      <c r="M321" s="34">
        <v>0</v>
      </c>
      <c r="N321" s="34"/>
      <c r="O321" s="34">
        <v>0</v>
      </c>
      <c r="P321" s="34"/>
      <c r="Q321" s="34">
        <v>764974</v>
      </c>
      <c r="R321" s="34"/>
      <c r="S321" s="34">
        <v>0</v>
      </c>
      <c r="T321" s="34"/>
      <c r="U321" s="34">
        <v>0</v>
      </c>
      <c r="V321" s="34"/>
      <c r="W321" s="34">
        <v>0</v>
      </c>
      <c r="X321" s="34"/>
      <c r="Y321" s="34">
        <v>130702</v>
      </c>
      <c r="Z321" s="34"/>
      <c r="AA321" s="34">
        <v>237324</v>
      </c>
      <c r="AB321" s="32"/>
      <c r="AC321" s="34">
        <v>0</v>
      </c>
      <c r="AD321" s="34"/>
      <c r="AE321" s="33">
        <f t="shared" si="4"/>
        <v>2594198</v>
      </c>
    </row>
    <row r="322" spans="5:31" ht="12.75" customHeight="1"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2"/>
      <c r="AA322" s="34"/>
      <c r="AB322" s="34"/>
      <c r="AD322" s="34"/>
      <c r="AE322" s="34" t="s">
        <v>785</v>
      </c>
    </row>
    <row r="323" spans="1:31" s="36" customFormat="1" ht="12.75" customHeight="1">
      <c r="A323" s="36" t="s">
        <v>559</v>
      </c>
      <c r="C323" s="36" t="s">
        <v>199</v>
      </c>
      <c r="E323" s="39">
        <v>2350</v>
      </c>
      <c r="F323" s="39"/>
      <c r="G323" s="39">
        <v>25</v>
      </c>
      <c r="H323" s="39"/>
      <c r="I323" s="39">
        <v>1702</v>
      </c>
      <c r="J323" s="39"/>
      <c r="K323" s="39">
        <v>0</v>
      </c>
      <c r="L323" s="39"/>
      <c r="M323" s="39">
        <v>0</v>
      </c>
      <c r="N323" s="39"/>
      <c r="O323" s="39">
        <v>0</v>
      </c>
      <c r="P323" s="39"/>
      <c r="Q323" s="39">
        <v>33295</v>
      </c>
      <c r="R323" s="39"/>
      <c r="S323" s="39">
        <v>0</v>
      </c>
      <c r="T323" s="39"/>
      <c r="U323" s="39">
        <v>6106</v>
      </c>
      <c r="V323" s="39"/>
      <c r="W323" s="39">
        <v>2826</v>
      </c>
      <c r="X323" s="39"/>
      <c r="Y323" s="39">
        <v>0</v>
      </c>
      <c r="Z323" s="38"/>
      <c r="AA323" s="39">
        <v>0</v>
      </c>
      <c r="AB323" s="39"/>
      <c r="AC323" s="39">
        <v>0</v>
      </c>
      <c r="AD323" s="39"/>
      <c r="AE323" s="40">
        <f t="shared" si="4"/>
        <v>46304</v>
      </c>
    </row>
    <row r="324" spans="1:31" ht="12.75" customHeight="1">
      <c r="A324" s="1" t="s">
        <v>757</v>
      </c>
      <c r="C324" s="1" t="s">
        <v>120</v>
      </c>
      <c r="E324" s="34">
        <v>19739</v>
      </c>
      <c r="F324" s="34"/>
      <c r="G324" s="34">
        <v>1656</v>
      </c>
      <c r="H324" s="34"/>
      <c r="I324" s="34">
        <v>1802</v>
      </c>
      <c r="J324" s="34"/>
      <c r="K324" s="34">
        <v>0</v>
      </c>
      <c r="L324" s="34"/>
      <c r="M324" s="34">
        <v>0</v>
      </c>
      <c r="N324" s="34"/>
      <c r="O324" s="34">
        <v>0</v>
      </c>
      <c r="P324" s="34"/>
      <c r="Q324" s="34">
        <v>58411</v>
      </c>
      <c r="R324" s="34"/>
      <c r="S324" s="34">
        <v>0</v>
      </c>
      <c r="T324" s="34"/>
      <c r="U324" s="34">
        <v>0</v>
      </c>
      <c r="V324" s="34"/>
      <c r="W324" s="34">
        <v>0</v>
      </c>
      <c r="X324" s="34"/>
      <c r="Y324" s="34">
        <v>1719</v>
      </c>
      <c r="Z324" s="32"/>
      <c r="AA324" s="34">
        <v>0</v>
      </c>
      <c r="AB324" s="34"/>
      <c r="AC324" s="34">
        <v>472</v>
      </c>
      <c r="AD324" s="34"/>
      <c r="AE324" s="33">
        <f t="shared" si="4"/>
        <v>83799</v>
      </c>
    </row>
    <row r="325" spans="1:31" ht="12.75" customHeight="1">
      <c r="A325" s="1" t="s">
        <v>632</v>
      </c>
      <c r="C325" s="1" t="s">
        <v>378</v>
      </c>
      <c r="E325" s="34">
        <v>256946</v>
      </c>
      <c r="F325" s="34"/>
      <c r="G325" s="34">
        <v>5638</v>
      </c>
      <c r="H325" s="34"/>
      <c r="I325" s="34">
        <v>0</v>
      </c>
      <c r="J325" s="34"/>
      <c r="K325" s="34">
        <v>3016</v>
      </c>
      <c r="L325" s="34"/>
      <c r="M325" s="34">
        <v>0</v>
      </c>
      <c r="N325" s="34"/>
      <c r="O325" s="34">
        <v>32948</v>
      </c>
      <c r="P325" s="34"/>
      <c r="Q325" s="34">
        <v>192712</v>
      </c>
      <c r="R325" s="34"/>
      <c r="S325" s="34">
        <v>0</v>
      </c>
      <c r="T325" s="34"/>
      <c r="U325" s="34">
        <v>0</v>
      </c>
      <c r="V325" s="34"/>
      <c r="W325" s="34">
        <v>0</v>
      </c>
      <c r="X325" s="34"/>
      <c r="Y325" s="34">
        <v>36952</v>
      </c>
      <c r="Z325" s="32"/>
      <c r="AA325" s="34">
        <v>0</v>
      </c>
      <c r="AB325" s="34"/>
      <c r="AC325" s="34">
        <v>5228</v>
      </c>
      <c r="AD325" s="34"/>
      <c r="AE325" s="33">
        <f t="shared" si="4"/>
        <v>533440</v>
      </c>
    </row>
    <row r="326" spans="1:31" ht="12.75" customHeight="1">
      <c r="A326" s="1" t="s">
        <v>758</v>
      </c>
      <c r="C326" s="1" t="s">
        <v>120</v>
      </c>
      <c r="E326" s="34">
        <v>3002</v>
      </c>
      <c r="F326" s="34"/>
      <c r="G326" s="34">
        <v>193</v>
      </c>
      <c r="H326" s="34"/>
      <c r="I326" s="34">
        <v>4688</v>
      </c>
      <c r="J326" s="34"/>
      <c r="K326" s="34">
        <v>0</v>
      </c>
      <c r="L326" s="34"/>
      <c r="M326" s="34">
        <v>0</v>
      </c>
      <c r="N326" s="34"/>
      <c r="O326" s="34">
        <v>10943</v>
      </c>
      <c r="P326" s="34"/>
      <c r="Q326" s="34">
        <v>25090</v>
      </c>
      <c r="R326" s="34"/>
      <c r="S326" s="34">
        <v>0</v>
      </c>
      <c r="T326" s="34"/>
      <c r="U326" s="34">
        <v>0</v>
      </c>
      <c r="V326" s="34"/>
      <c r="W326" s="34">
        <v>0</v>
      </c>
      <c r="X326" s="34"/>
      <c r="Y326" s="34">
        <v>0</v>
      </c>
      <c r="Z326" s="32"/>
      <c r="AA326" s="34">
        <v>0</v>
      </c>
      <c r="AB326" s="34"/>
      <c r="AC326" s="34">
        <v>0</v>
      </c>
      <c r="AD326" s="34"/>
      <c r="AE326" s="33">
        <f t="shared" si="4"/>
        <v>43916</v>
      </c>
    </row>
    <row r="327" spans="1:31" ht="12.75" customHeight="1">
      <c r="A327" s="1" t="s">
        <v>250</v>
      </c>
      <c r="C327" s="1" t="s">
        <v>147</v>
      </c>
      <c r="E327" s="34">
        <v>25000</v>
      </c>
      <c r="F327" s="34"/>
      <c r="G327" s="34">
        <v>0</v>
      </c>
      <c r="H327" s="34"/>
      <c r="I327" s="34">
        <v>0</v>
      </c>
      <c r="J327" s="34"/>
      <c r="K327" s="34">
        <v>303</v>
      </c>
      <c r="L327" s="34"/>
      <c r="M327" s="34">
        <v>0</v>
      </c>
      <c r="N327" s="34"/>
      <c r="O327" s="34">
        <v>0</v>
      </c>
      <c r="P327" s="34"/>
      <c r="Q327" s="34">
        <v>43513</v>
      </c>
      <c r="R327" s="34"/>
      <c r="S327" s="34">
        <v>0</v>
      </c>
      <c r="T327" s="34"/>
      <c r="U327" s="34">
        <v>0</v>
      </c>
      <c r="V327" s="34"/>
      <c r="W327" s="34">
        <v>0</v>
      </c>
      <c r="X327" s="34"/>
      <c r="Y327" s="34">
        <v>17500</v>
      </c>
      <c r="Z327" s="34"/>
      <c r="AA327" s="34">
        <v>0</v>
      </c>
      <c r="AB327" s="32"/>
      <c r="AC327" s="34">
        <v>0</v>
      </c>
      <c r="AD327" s="34"/>
      <c r="AE327" s="33">
        <f t="shared" si="4"/>
        <v>86316</v>
      </c>
    </row>
    <row r="328" spans="1:31" ht="12.75" customHeight="1">
      <c r="A328" s="1" t="s">
        <v>277</v>
      </c>
      <c r="C328" s="1" t="s">
        <v>94</v>
      </c>
      <c r="E328" s="34">
        <v>34362</v>
      </c>
      <c r="F328" s="34"/>
      <c r="G328" s="34">
        <v>824</v>
      </c>
      <c r="H328" s="34"/>
      <c r="I328" s="34">
        <v>6310</v>
      </c>
      <c r="J328" s="34"/>
      <c r="K328" s="34">
        <v>68049</v>
      </c>
      <c r="L328" s="34"/>
      <c r="M328" s="34">
        <v>50079</v>
      </c>
      <c r="N328" s="34"/>
      <c r="O328" s="34">
        <v>0</v>
      </c>
      <c r="P328" s="34"/>
      <c r="Q328" s="34">
        <v>71268</v>
      </c>
      <c r="R328" s="34"/>
      <c r="S328" s="34">
        <v>0</v>
      </c>
      <c r="T328" s="34"/>
      <c r="U328" s="34">
        <v>0</v>
      </c>
      <c r="V328" s="34"/>
      <c r="W328" s="34">
        <v>0</v>
      </c>
      <c r="X328" s="34"/>
      <c r="Y328" s="34">
        <v>37171</v>
      </c>
      <c r="Z328" s="34"/>
      <c r="AA328" s="34">
        <v>0</v>
      </c>
      <c r="AB328" s="32"/>
      <c r="AC328" s="34">
        <v>0</v>
      </c>
      <c r="AD328" s="34"/>
      <c r="AE328" s="33">
        <f t="shared" si="4"/>
        <v>268063</v>
      </c>
    </row>
    <row r="329" spans="1:31" ht="12.75" customHeight="1">
      <c r="A329" s="1" t="s">
        <v>589</v>
      </c>
      <c r="C329" s="1" t="s">
        <v>247</v>
      </c>
      <c r="E329" s="34">
        <v>22660</v>
      </c>
      <c r="F329" s="34"/>
      <c r="G329" s="34">
        <v>0</v>
      </c>
      <c r="H329" s="34"/>
      <c r="I329" s="34">
        <v>0</v>
      </c>
      <c r="J329" s="34"/>
      <c r="K329" s="34">
        <v>0</v>
      </c>
      <c r="L329" s="34"/>
      <c r="M329" s="34">
        <v>29415</v>
      </c>
      <c r="N329" s="34"/>
      <c r="O329" s="34">
        <v>0</v>
      </c>
      <c r="P329" s="34"/>
      <c r="Q329" s="34">
        <v>77631</v>
      </c>
      <c r="R329" s="34"/>
      <c r="S329" s="34">
        <v>4012</v>
      </c>
      <c r="T329" s="34"/>
      <c r="U329" s="34">
        <v>0</v>
      </c>
      <c r="V329" s="34"/>
      <c r="W329" s="34">
        <v>0</v>
      </c>
      <c r="X329" s="34"/>
      <c r="Y329" s="34">
        <v>52700</v>
      </c>
      <c r="Z329" s="32"/>
      <c r="AA329" s="34">
        <v>0</v>
      </c>
      <c r="AB329" s="34"/>
      <c r="AC329" s="34">
        <v>0</v>
      </c>
      <c r="AD329" s="34"/>
      <c r="AE329" s="33">
        <f t="shared" si="4"/>
        <v>186418</v>
      </c>
    </row>
    <row r="330" spans="1:31" ht="12.75" customHeight="1">
      <c r="A330" s="1" t="s">
        <v>549</v>
      </c>
      <c r="C330" s="1" t="s">
        <v>87</v>
      </c>
      <c r="E330" s="34">
        <v>12522</v>
      </c>
      <c r="F330" s="34"/>
      <c r="G330" s="34">
        <v>0</v>
      </c>
      <c r="H330" s="34"/>
      <c r="I330" s="34">
        <v>0</v>
      </c>
      <c r="J330" s="34"/>
      <c r="K330" s="34">
        <v>511</v>
      </c>
      <c r="L330" s="34"/>
      <c r="M330" s="34">
        <v>2585</v>
      </c>
      <c r="N330" s="34"/>
      <c r="O330" s="34">
        <v>3261</v>
      </c>
      <c r="P330" s="34"/>
      <c r="Q330" s="34">
        <v>69050</v>
      </c>
      <c r="R330" s="34"/>
      <c r="S330" s="34">
        <v>0</v>
      </c>
      <c r="T330" s="34"/>
      <c r="U330" s="34">
        <v>0</v>
      </c>
      <c r="V330" s="34"/>
      <c r="W330" s="34">
        <v>0</v>
      </c>
      <c r="X330" s="34"/>
      <c r="Y330" s="34">
        <v>0</v>
      </c>
      <c r="Z330" s="32"/>
      <c r="AA330" s="34">
        <v>11081</v>
      </c>
      <c r="AB330" s="34"/>
      <c r="AC330" s="34">
        <v>0</v>
      </c>
      <c r="AD330" s="34"/>
      <c r="AE330" s="33">
        <f t="shared" si="4"/>
        <v>99010</v>
      </c>
    </row>
    <row r="331" spans="1:31" ht="12.75" customHeight="1">
      <c r="A331" s="1" t="s">
        <v>293</v>
      </c>
      <c r="C331" s="1" t="s">
        <v>197</v>
      </c>
      <c r="E331" s="34">
        <v>739650</v>
      </c>
      <c r="F331" s="34"/>
      <c r="G331" s="34">
        <v>0</v>
      </c>
      <c r="H331" s="34"/>
      <c r="I331" s="34">
        <v>0</v>
      </c>
      <c r="J331" s="34"/>
      <c r="K331" s="34">
        <v>0</v>
      </c>
      <c r="L331" s="34"/>
      <c r="M331" s="34">
        <v>0</v>
      </c>
      <c r="N331" s="34"/>
      <c r="O331" s="34">
        <v>0</v>
      </c>
      <c r="P331" s="34"/>
      <c r="Q331" s="34">
        <v>574848</v>
      </c>
      <c r="R331" s="34"/>
      <c r="S331" s="34">
        <v>54305</v>
      </c>
      <c r="T331" s="34"/>
      <c r="U331" s="34">
        <v>0</v>
      </c>
      <c r="V331" s="34"/>
      <c r="W331" s="34">
        <v>0</v>
      </c>
      <c r="X331" s="34"/>
      <c r="Y331" s="34">
        <v>4427</v>
      </c>
      <c r="Z331" s="32"/>
      <c r="AA331" s="34">
        <v>0</v>
      </c>
      <c r="AB331" s="34"/>
      <c r="AC331" s="34">
        <v>0</v>
      </c>
      <c r="AD331" s="34"/>
      <c r="AE331" s="33">
        <f t="shared" si="4"/>
        <v>1373230</v>
      </c>
    </row>
    <row r="332" spans="1:31" ht="12.75" customHeight="1">
      <c r="A332" s="1" t="s">
        <v>743</v>
      </c>
      <c r="C332" s="1" t="s">
        <v>744</v>
      </c>
      <c r="E332" s="34">
        <v>0</v>
      </c>
      <c r="F332" s="34"/>
      <c r="G332" s="34">
        <v>1450</v>
      </c>
      <c r="H332" s="34"/>
      <c r="I332" s="34">
        <v>0</v>
      </c>
      <c r="J332" s="34"/>
      <c r="K332" s="34">
        <v>0</v>
      </c>
      <c r="L332" s="34"/>
      <c r="M332" s="34">
        <v>0</v>
      </c>
      <c r="N332" s="34"/>
      <c r="O332" s="34">
        <v>0</v>
      </c>
      <c r="P332" s="34"/>
      <c r="Q332" s="34">
        <v>25794</v>
      </c>
      <c r="R332" s="34"/>
      <c r="S332" s="34">
        <v>0</v>
      </c>
      <c r="T332" s="34"/>
      <c r="U332" s="34">
        <v>0</v>
      </c>
      <c r="V332" s="34"/>
      <c r="W332" s="34">
        <v>0</v>
      </c>
      <c r="X332" s="34"/>
      <c r="Y332" s="34">
        <v>0</v>
      </c>
      <c r="Z332" s="32"/>
      <c r="AA332" s="34">
        <v>0</v>
      </c>
      <c r="AB332" s="34"/>
      <c r="AC332" s="34">
        <v>300</v>
      </c>
      <c r="AD332" s="34"/>
      <c r="AE332" s="33">
        <f t="shared" si="4"/>
        <v>27544</v>
      </c>
    </row>
    <row r="333" spans="1:31" ht="12.75" customHeight="1">
      <c r="A333" s="1" t="s">
        <v>278</v>
      </c>
      <c r="C333" s="1" t="s">
        <v>106</v>
      </c>
      <c r="E333" s="34">
        <v>158731</v>
      </c>
      <c r="F333" s="34"/>
      <c r="G333" s="34">
        <v>3035</v>
      </c>
      <c r="H333" s="34"/>
      <c r="I333" s="34">
        <v>11628</v>
      </c>
      <c r="J333" s="34"/>
      <c r="K333" s="34">
        <v>0</v>
      </c>
      <c r="L333" s="34"/>
      <c r="M333" s="34">
        <v>7998</v>
      </c>
      <c r="N333" s="34"/>
      <c r="O333" s="34">
        <v>13003</v>
      </c>
      <c r="P333" s="34"/>
      <c r="Q333" s="34">
        <f>56499</f>
        <v>56499</v>
      </c>
      <c r="R333" s="34"/>
      <c r="S333" s="34">
        <f>11079</f>
        <v>11079</v>
      </c>
      <c r="T333" s="34"/>
      <c r="U333" s="34">
        <f>3571</f>
        <v>3571</v>
      </c>
      <c r="V333" s="34"/>
      <c r="W333" s="34">
        <v>0</v>
      </c>
      <c r="X333" s="34"/>
      <c r="Y333" s="34">
        <v>5524</v>
      </c>
      <c r="Z333" s="34"/>
      <c r="AA333" s="34">
        <v>0</v>
      </c>
      <c r="AB333" s="32"/>
      <c r="AC333" s="34">
        <v>0</v>
      </c>
      <c r="AD333" s="34"/>
      <c r="AE333" s="33">
        <f aca="true" t="shared" si="5" ref="AE333:AE397">SUM(E333:AC333)</f>
        <v>271068</v>
      </c>
    </row>
    <row r="334" spans="1:31" ht="12.75" customHeight="1">
      <c r="A334" s="1" t="s">
        <v>754</v>
      </c>
      <c r="C334" s="1" t="s">
        <v>172</v>
      </c>
      <c r="E334" s="34">
        <v>35000</v>
      </c>
      <c r="F334" s="34"/>
      <c r="G334" s="34">
        <v>0</v>
      </c>
      <c r="H334" s="34"/>
      <c r="I334" s="34">
        <v>0</v>
      </c>
      <c r="J334" s="34"/>
      <c r="K334" s="34">
        <v>6766</v>
      </c>
      <c r="L334" s="34"/>
      <c r="M334" s="34">
        <v>0</v>
      </c>
      <c r="N334" s="34"/>
      <c r="O334" s="34">
        <v>0</v>
      </c>
      <c r="P334" s="34"/>
      <c r="Q334" s="34">
        <v>67683</v>
      </c>
      <c r="R334" s="34"/>
      <c r="S334" s="34">
        <v>0</v>
      </c>
      <c r="T334" s="34"/>
      <c r="U334" s="34">
        <v>0</v>
      </c>
      <c r="V334" s="34"/>
      <c r="W334" s="34">
        <v>0</v>
      </c>
      <c r="X334" s="34"/>
      <c r="Y334" s="34">
        <v>0</v>
      </c>
      <c r="Z334" s="32"/>
      <c r="AA334" s="34">
        <v>0</v>
      </c>
      <c r="AB334" s="34"/>
      <c r="AC334" s="34">
        <v>0</v>
      </c>
      <c r="AD334" s="34"/>
      <c r="AE334" s="33">
        <f t="shared" si="5"/>
        <v>109449</v>
      </c>
    </row>
    <row r="335" spans="1:31" ht="12.75" customHeight="1">
      <c r="A335" s="1" t="s">
        <v>586</v>
      </c>
      <c r="C335" s="1" t="s">
        <v>239</v>
      </c>
      <c r="E335" s="34">
        <v>7864</v>
      </c>
      <c r="F335" s="34"/>
      <c r="G335" s="34">
        <v>0</v>
      </c>
      <c r="H335" s="34"/>
      <c r="I335" s="34">
        <v>2276</v>
      </c>
      <c r="J335" s="34"/>
      <c r="K335" s="34">
        <v>700</v>
      </c>
      <c r="L335" s="34"/>
      <c r="M335" s="34">
        <v>824</v>
      </c>
      <c r="N335" s="34"/>
      <c r="O335" s="34">
        <v>1062</v>
      </c>
      <c r="P335" s="34"/>
      <c r="Q335" s="34">
        <v>34725</v>
      </c>
      <c r="R335" s="34"/>
      <c r="S335" s="34">
        <v>2000</v>
      </c>
      <c r="T335" s="34"/>
      <c r="U335" s="34">
        <v>0</v>
      </c>
      <c r="V335" s="34"/>
      <c r="W335" s="34">
        <v>0</v>
      </c>
      <c r="X335" s="34"/>
      <c r="Y335" s="34">
        <v>4039</v>
      </c>
      <c r="Z335" s="32"/>
      <c r="AA335" s="34">
        <v>0</v>
      </c>
      <c r="AB335" s="34"/>
      <c r="AC335" s="34">
        <v>845</v>
      </c>
      <c r="AD335" s="34"/>
      <c r="AE335" s="33">
        <f t="shared" si="5"/>
        <v>54335</v>
      </c>
    </row>
    <row r="336" spans="1:31" ht="12.75" customHeight="1">
      <c r="A336" s="1" t="s">
        <v>279</v>
      </c>
      <c r="C336" s="1" t="s">
        <v>280</v>
      </c>
      <c r="E336" s="34">
        <v>235</v>
      </c>
      <c r="F336" s="34"/>
      <c r="G336" s="34">
        <v>3772</v>
      </c>
      <c r="H336" s="34"/>
      <c r="I336" s="34">
        <v>11905</v>
      </c>
      <c r="J336" s="34"/>
      <c r="K336" s="34">
        <v>0</v>
      </c>
      <c r="L336" s="34"/>
      <c r="M336" s="34">
        <v>17112</v>
      </c>
      <c r="N336" s="34"/>
      <c r="O336" s="34">
        <v>0</v>
      </c>
      <c r="P336" s="34"/>
      <c r="Q336" s="34">
        <v>203485</v>
      </c>
      <c r="R336" s="34"/>
      <c r="S336" s="34">
        <v>48395</v>
      </c>
      <c r="T336" s="34"/>
      <c r="U336" s="34">
        <v>0</v>
      </c>
      <c r="V336" s="34"/>
      <c r="W336" s="34">
        <v>0</v>
      </c>
      <c r="X336" s="34"/>
      <c r="Y336" s="34">
        <v>0</v>
      </c>
      <c r="Z336" s="34"/>
      <c r="AA336" s="34">
        <v>0</v>
      </c>
      <c r="AB336" s="32"/>
      <c r="AC336" s="34">
        <v>0</v>
      </c>
      <c r="AD336" s="34"/>
      <c r="AE336" s="33">
        <f t="shared" si="5"/>
        <v>284904</v>
      </c>
    </row>
    <row r="337" spans="1:31" ht="12.75" customHeight="1">
      <c r="A337" s="1" t="s">
        <v>483</v>
      </c>
      <c r="C337" s="1" t="s">
        <v>153</v>
      </c>
      <c r="E337" s="34">
        <v>142052</v>
      </c>
      <c r="F337" s="34"/>
      <c r="G337" s="34">
        <v>0</v>
      </c>
      <c r="H337" s="34"/>
      <c r="I337" s="34">
        <v>23714</v>
      </c>
      <c r="J337" s="34"/>
      <c r="K337" s="34">
        <v>0</v>
      </c>
      <c r="L337" s="34"/>
      <c r="M337" s="34">
        <v>0</v>
      </c>
      <c r="N337" s="34"/>
      <c r="O337" s="34">
        <v>0</v>
      </c>
      <c r="P337" s="34"/>
      <c r="Q337" s="34">
        <v>135526</v>
      </c>
      <c r="R337" s="34"/>
      <c r="S337" s="34">
        <v>0</v>
      </c>
      <c r="T337" s="34"/>
      <c r="U337" s="34">
        <v>0</v>
      </c>
      <c r="V337" s="34"/>
      <c r="W337" s="34">
        <v>6347</v>
      </c>
      <c r="X337" s="34"/>
      <c r="Y337" s="34">
        <v>29500</v>
      </c>
      <c r="Z337" s="32"/>
      <c r="AA337" s="34">
        <v>14500</v>
      </c>
      <c r="AB337" s="34"/>
      <c r="AC337" s="34">
        <v>0</v>
      </c>
      <c r="AD337" s="34"/>
      <c r="AE337" s="33">
        <f t="shared" si="5"/>
        <v>351639</v>
      </c>
    </row>
    <row r="338" spans="1:31" ht="12.75" customHeight="1">
      <c r="A338" s="1" t="s">
        <v>443</v>
      </c>
      <c r="C338" s="1" t="s">
        <v>346</v>
      </c>
      <c r="E338" s="34">
        <v>22605</v>
      </c>
      <c r="F338" s="34"/>
      <c r="G338" s="34">
        <v>3486</v>
      </c>
      <c r="H338" s="34"/>
      <c r="I338" s="34">
        <v>36878</v>
      </c>
      <c r="J338" s="34"/>
      <c r="K338" s="34">
        <v>14894</v>
      </c>
      <c r="L338" s="34"/>
      <c r="M338" s="34">
        <v>0</v>
      </c>
      <c r="N338" s="34"/>
      <c r="O338" s="34">
        <v>0</v>
      </c>
      <c r="P338" s="34"/>
      <c r="Q338" s="34">
        <v>87383</v>
      </c>
      <c r="R338" s="34"/>
      <c r="S338" s="34">
        <v>0</v>
      </c>
      <c r="T338" s="34"/>
      <c r="U338" s="34">
        <v>0</v>
      </c>
      <c r="V338" s="34"/>
      <c r="W338" s="34">
        <v>0</v>
      </c>
      <c r="X338" s="34"/>
      <c r="Y338" s="34">
        <v>79000</v>
      </c>
      <c r="Z338" s="32"/>
      <c r="AA338" s="34">
        <v>0</v>
      </c>
      <c r="AB338" s="34"/>
      <c r="AC338" s="34">
        <v>0</v>
      </c>
      <c r="AD338" s="34"/>
      <c r="AE338" s="33">
        <f t="shared" si="5"/>
        <v>244246</v>
      </c>
    </row>
    <row r="339" spans="1:31" ht="12.75" customHeight="1">
      <c r="A339" s="1" t="s">
        <v>692</v>
      </c>
      <c r="C339" s="1" t="s">
        <v>137</v>
      </c>
      <c r="E339" s="34">
        <v>491746</v>
      </c>
      <c r="F339" s="34"/>
      <c r="G339" s="34">
        <v>0</v>
      </c>
      <c r="H339" s="34"/>
      <c r="I339" s="34">
        <v>31736</v>
      </c>
      <c r="J339" s="34"/>
      <c r="K339" s="34">
        <v>5972</v>
      </c>
      <c r="L339" s="34"/>
      <c r="M339" s="34">
        <v>0</v>
      </c>
      <c r="N339" s="34"/>
      <c r="O339" s="34">
        <v>6402</v>
      </c>
      <c r="P339" s="34"/>
      <c r="Q339" s="34">
        <v>203086</v>
      </c>
      <c r="R339" s="34"/>
      <c r="S339" s="34">
        <v>0</v>
      </c>
      <c r="T339" s="34"/>
      <c r="U339" s="34">
        <v>0</v>
      </c>
      <c r="V339" s="34"/>
      <c r="W339" s="34">
        <v>0</v>
      </c>
      <c r="X339" s="34"/>
      <c r="Y339" s="34">
        <v>133480</v>
      </c>
      <c r="Z339" s="32"/>
      <c r="AA339" s="34">
        <v>37000</v>
      </c>
      <c r="AB339" s="34"/>
      <c r="AC339" s="34">
        <v>455</v>
      </c>
      <c r="AD339" s="34"/>
      <c r="AE339" s="33">
        <f t="shared" si="5"/>
        <v>909877</v>
      </c>
    </row>
    <row r="340" spans="1:31" ht="12.75" customHeight="1">
      <c r="A340" s="1" t="s">
        <v>544</v>
      </c>
      <c r="C340" s="1" t="s">
        <v>149</v>
      </c>
      <c r="E340" s="34">
        <v>320960</v>
      </c>
      <c r="F340" s="34"/>
      <c r="G340" s="34">
        <v>5632</v>
      </c>
      <c r="H340" s="34"/>
      <c r="I340" s="34">
        <v>99484</v>
      </c>
      <c r="J340" s="34"/>
      <c r="K340" s="34">
        <v>220</v>
      </c>
      <c r="L340" s="34"/>
      <c r="M340" s="34">
        <v>112778</v>
      </c>
      <c r="N340" s="34"/>
      <c r="O340" s="34">
        <v>23907</v>
      </c>
      <c r="P340" s="34"/>
      <c r="Q340" s="34">
        <v>311230</v>
      </c>
      <c r="R340" s="34"/>
      <c r="S340" s="34">
        <v>212971</v>
      </c>
      <c r="T340" s="34"/>
      <c r="U340" s="34">
        <v>0</v>
      </c>
      <c r="V340" s="34"/>
      <c r="W340" s="34">
        <v>0</v>
      </c>
      <c r="X340" s="34"/>
      <c r="Y340" s="34">
        <v>190400</v>
      </c>
      <c r="Z340" s="32"/>
      <c r="AA340" s="34">
        <v>0</v>
      </c>
      <c r="AB340" s="34"/>
      <c r="AC340" s="34">
        <v>0</v>
      </c>
      <c r="AD340" s="34"/>
      <c r="AE340" s="33">
        <f t="shared" si="5"/>
        <v>1277582</v>
      </c>
    </row>
    <row r="341" spans="1:31" ht="12.75" customHeight="1">
      <c r="A341" s="1" t="s">
        <v>675</v>
      </c>
      <c r="C341" s="1" t="s">
        <v>215</v>
      </c>
      <c r="E341" s="34">
        <v>198033</v>
      </c>
      <c r="F341" s="34"/>
      <c r="G341" s="34">
        <v>7685</v>
      </c>
      <c r="H341" s="34"/>
      <c r="I341" s="34">
        <v>2262</v>
      </c>
      <c r="J341" s="34"/>
      <c r="K341" s="34">
        <v>0</v>
      </c>
      <c r="L341" s="34"/>
      <c r="M341" s="34">
        <v>0</v>
      </c>
      <c r="N341" s="34"/>
      <c r="O341" s="34">
        <v>70</v>
      </c>
      <c r="P341" s="34"/>
      <c r="Q341" s="34">
        <v>154747</v>
      </c>
      <c r="R341" s="34"/>
      <c r="S341" s="34">
        <v>0</v>
      </c>
      <c r="T341" s="34"/>
      <c r="U341" s="34">
        <v>14793</v>
      </c>
      <c r="V341" s="34"/>
      <c r="W341" s="34">
        <v>0</v>
      </c>
      <c r="X341" s="34"/>
      <c r="Y341" s="34">
        <v>46399</v>
      </c>
      <c r="Z341" s="32"/>
      <c r="AA341" s="34">
        <v>0</v>
      </c>
      <c r="AB341" s="34"/>
      <c r="AC341" s="34">
        <v>0</v>
      </c>
      <c r="AD341" s="34"/>
      <c r="AE341" s="33">
        <f t="shared" si="5"/>
        <v>423989</v>
      </c>
    </row>
    <row r="342" spans="1:31" ht="12.75" customHeight="1">
      <c r="A342" s="1" t="s">
        <v>667</v>
      </c>
      <c r="C342" s="1" t="s">
        <v>309</v>
      </c>
      <c r="E342" s="34">
        <v>1510</v>
      </c>
      <c r="F342" s="34"/>
      <c r="G342" s="34">
        <v>0</v>
      </c>
      <c r="H342" s="34"/>
      <c r="I342" s="34">
        <v>0</v>
      </c>
      <c r="J342" s="34"/>
      <c r="K342" s="34">
        <v>0</v>
      </c>
      <c r="L342" s="34"/>
      <c r="M342" s="34">
        <v>5122</v>
      </c>
      <c r="N342" s="34"/>
      <c r="O342" s="34">
        <v>0</v>
      </c>
      <c r="P342" s="34"/>
      <c r="Q342" s="34">
        <v>36338</v>
      </c>
      <c r="R342" s="34"/>
      <c r="S342" s="34">
        <v>0</v>
      </c>
      <c r="T342" s="34"/>
      <c r="U342" s="34">
        <v>0</v>
      </c>
      <c r="V342" s="34"/>
      <c r="W342" s="34">
        <v>0</v>
      </c>
      <c r="X342" s="34"/>
      <c r="Y342" s="34">
        <v>0</v>
      </c>
      <c r="Z342" s="32"/>
      <c r="AA342" s="34">
        <v>0</v>
      </c>
      <c r="AB342" s="34"/>
      <c r="AC342" s="34">
        <v>0</v>
      </c>
      <c r="AD342" s="34"/>
      <c r="AE342" s="33">
        <f t="shared" si="5"/>
        <v>42970</v>
      </c>
    </row>
    <row r="343" spans="1:31" ht="12.75" customHeight="1">
      <c r="A343" s="1" t="s">
        <v>281</v>
      </c>
      <c r="C343" s="1" t="s">
        <v>73</v>
      </c>
      <c r="E343" s="34">
        <v>1471468</v>
      </c>
      <c r="F343" s="34"/>
      <c r="G343" s="34">
        <v>5917</v>
      </c>
      <c r="H343" s="34"/>
      <c r="I343" s="34">
        <v>617815</v>
      </c>
      <c r="J343" s="34"/>
      <c r="K343" s="34">
        <v>80917</v>
      </c>
      <c r="L343" s="34"/>
      <c r="M343" s="34">
        <v>312273</v>
      </c>
      <c r="N343" s="34"/>
      <c r="O343" s="34">
        <v>38643</v>
      </c>
      <c r="P343" s="34"/>
      <c r="Q343" s="34">
        <v>633533</v>
      </c>
      <c r="R343" s="34"/>
      <c r="S343" s="34">
        <v>0</v>
      </c>
      <c r="T343" s="34"/>
      <c r="U343" s="34">
        <v>0</v>
      </c>
      <c r="V343" s="34"/>
      <c r="W343" s="34">
        <v>0</v>
      </c>
      <c r="X343" s="34"/>
      <c r="Y343" s="34">
        <v>0</v>
      </c>
      <c r="Z343" s="34"/>
      <c r="AA343" s="34">
        <v>0</v>
      </c>
      <c r="AB343" s="32"/>
      <c r="AC343" s="34">
        <v>0</v>
      </c>
      <c r="AD343" s="34"/>
      <c r="AE343" s="33">
        <f t="shared" si="5"/>
        <v>3160566</v>
      </c>
    </row>
    <row r="344" spans="1:31" ht="12.75" customHeight="1">
      <c r="A344" s="1" t="s">
        <v>282</v>
      </c>
      <c r="C344" s="1" t="s">
        <v>120</v>
      </c>
      <c r="E344" s="34">
        <v>0</v>
      </c>
      <c r="F344" s="34"/>
      <c r="G344" s="34">
        <v>218</v>
      </c>
      <c r="H344" s="34"/>
      <c r="I344" s="34">
        <v>530</v>
      </c>
      <c r="J344" s="34"/>
      <c r="K344" s="34">
        <v>0</v>
      </c>
      <c r="L344" s="34"/>
      <c r="M344" s="34">
        <v>7478</v>
      </c>
      <c r="N344" s="34"/>
      <c r="O344" s="34">
        <v>13845</v>
      </c>
      <c r="P344" s="34"/>
      <c r="Q344" s="34">
        <v>22071</v>
      </c>
      <c r="R344" s="34"/>
      <c r="S344" s="34">
        <v>0</v>
      </c>
      <c r="T344" s="34"/>
      <c r="U344" s="34">
        <v>0</v>
      </c>
      <c r="V344" s="34"/>
      <c r="W344" s="34">
        <v>0</v>
      </c>
      <c r="X344" s="34"/>
      <c r="Y344" s="34">
        <v>0</v>
      </c>
      <c r="Z344" s="34"/>
      <c r="AA344" s="34">
        <v>0</v>
      </c>
      <c r="AB344" s="32"/>
      <c r="AC344" s="34">
        <v>0</v>
      </c>
      <c r="AD344" s="34"/>
      <c r="AE344" s="33">
        <f t="shared" si="5"/>
        <v>44142</v>
      </c>
    </row>
    <row r="345" spans="1:31" ht="12.75" customHeight="1">
      <c r="A345" s="1" t="s">
        <v>283</v>
      </c>
      <c r="C345" s="1" t="s">
        <v>151</v>
      </c>
      <c r="E345" s="34">
        <v>1132</v>
      </c>
      <c r="F345" s="34"/>
      <c r="G345" s="34">
        <v>110</v>
      </c>
      <c r="H345" s="34"/>
      <c r="I345" s="34">
        <v>0</v>
      </c>
      <c r="J345" s="34"/>
      <c r="K345" s="34">
        <v>0</v>
      </c>
      <c r="L345" s="34"/>
      <c r="M345" s="34">
        <v>217</v>
      </c>
      <c r="N345" s="34"/>
      <c r="O345" s="34">
        <v>0</v>
      </c>
      <c r="P345" s="34"/>
      <c r="Q345" s="34">
        <v>2845</v>
      </c>
      <c r="R345" s="34"/>
      <c r="S345" s="34">
        <v>0</v>
      </c>
      <c r="T345" s="34"/>
      <c r="U345" s="34">
        <v>0</v>
      </c>
      <c r="V345" s="34"/>
      <c r="W345" s="34">
        <v>0</v>
      </c>
      <c r="X345" s="34"/>
      <c r="Y345" s="34">
        <v>0</v>
      </c>
      <c r="Z345" s="34"/>
      <c r="AA345" s="34">
        <v>0</v>
      </c>
      <c r="AB345" s="32"/>
      <c r="AC345" s="34">
        <v>0</v>
      </c>
      <c r="AD345" s="34"/>
      <c r="AE345" s="33">
        <f t="shared" si="5"/>
        <v>4304</v>
      </c>
    </row>
    <row r="346" spans="1:31" ht="12.75" customHeight="1">
      <c r="A346" s="1" t="s">
        <v>284</v>
      </c>
      <c r="C346" s="1" t="s">
        <v>84</v>
      </c>
      <c r="E346" s="34">
        <v>54399</v>
      </c>
      <c r="F346" s="34"/>
      <c r="G346" s="34">
        <v>1560</v>
      </c>
      <c r="H346" s="34"/>
      <c r="I346" s="34">
        <v>5042</v>
      </c>
      <c r="J346" s="34"/>
      <c r="K346" s="34">
        <v>0</v>
      </c>
      <c r="L346" s="34"/>
      <c r="M346" s="34">
        <v>598</v>
      </c>
      <c r="N346" s="34"/>
      <c r="O346" s="34">
        <v>4503</v>
      </c>
      <c r="P346" s="34"/>
      <c r="Q346" s="34">
        <v>159719</v>
      </c>
      <c r="R346" s="34"/>
      <c r="S346" s="34">
        <v>0</v>
      </c>
      <c r="T346" s="34"/>
      <c r="U346" s="34">
        <v>0</v>
      </c>
      <c r="V346" s="34"/>
      <c r="W346" s="34">
        <v>0</v>
      </c>
      <c r="X346" s="34"/>
      <c r="Y346" s="34">
        <v>24005</v>
      </c>
      <c r="Z346" s="34"/>
      <c r="AA346" s="34">
        <v>0</v>
      </c>
      <c r="AB346" s="32"/>
      <c r="AC346" s="34">
        <v>0</v>
      </c>
      <c r="AD346" s="34"/>
      <c r="AE346" s="33">
        <f t="shared" si="5"/>
        <v>249826</v>
      </c>
    </row>
    <row r="347" spans="1:31" ht="12.75" customHeight="1">
      <c r="A347" s="1" t="s">
        <v>606</v>
      </c>
      <c r="C347" s="1" t="s">
        <v>182</v>
      </c>
      <c r="E347" s="34">
        <v>0</v>
      </c>
      <c r="F347" s="34"/>
      <c r="G347" s="34">
        <v>2710</v>
      </c>
      <c r="H347" s="34"/>
      <c r="I347" s="34">
        <v>4401</v>
      </c>
      <c r="J347" s="34"/>
      <c r="K347" s="34">
        <v>0</v>
      </c>
      <c r="L347" s="34"/>
      <c r="M347" s="34">
        <v>450</v>
      </c>
      <c r="N347" s="34"/>
      <c r="O347" s="34">
        <v>0</v>
      </c>
      <c r="P347" s="34"/>
      <c r="Q347" s="34">
        <v>18870</v>
      </c>
      <c r="R347" s="34"/>
      <c r="S347" s="34">
        <v>0</v>
      </c>
      <c r="T347" s="34"/>
      <c r="U347" s="34">
        <v>0</v>
      </c>
      <c r="V347" s="34"/>
      <c r="W347" s="34">
        <v>0</v>
      </c>
      <c r="X347" s="34"/>
      <c r="Y347" s="34">
        <v>0</v>
      </c>
      <c r="Z347" s="32"/>
      <c r="AA347" s="34">
        <v>0</v>
      </c>
      <c r="AB347" s="34"/>
      <c r="AC347" s="34">
        <v>0</v>
      </c>
      <c r="AD347" s="34"/>
      <c r="AE347" s="33">
        <f t="shared" si="5"/>
        <v>26431</v>
      </c>
    </row>
    <row r="348" spans="1:31" ht="12.75" customHeight="1">
      <c r="A348" s="1" t="s">
        <v>500</v>
      </c>
      <c r="C348" s="1" t="s">
        <v>122</v>
      </c>
      <c r="E348" s="34">
        <v>9457</v>
      </c>
      <c r="F348" s="34"/>
      <c r="G348" s="34">
        <v>0</v>
      </c>
      <c r="H348" s="34"/>
      <c r="I348" s="34">
        <v>0</v>
      </c>
      <c r="J348" s="34"/>
      <c r="K348" s="34">
        <v>0</v>
      </c>
      <c r="L348" s="34"/>
      <c r="M348" s="34">
        <v>0</v>
      </c>
      <c r="N348" s="34"/>
      <c r="O348" s="34">
        <v>0</v>
      </c>
      <c r="P348" s="34"/>
      <c r="Q348" s="34">
        <v>30712</v>
      </c>
      <c r="R348" s="34"/>
      <c r="S348" s="34">
        <v>0</v>
      </c>
      <c r="T348" s="34"/>
      <c r="U348" s="34">
        <v>0</v>
      </c>
      <c r="V348" s="34"/>
      <c r="W348" s="34">
        <v>0</v>
      </c>
      <c r="X348" s="34"/>
      <c r="Y348" s="34">
        <v>0</v>
      </c>
      <c r="Z348" s="32"/>
      <c r="AA348" s="34">
        <v>0</v>
      </c>
      <c r="AB348" s="34"/>
      <c r="AC348" s="34">
        <v>0</v>
      </c>
      <c r="AD348" s="34"/>
      <c r="AE348" s="33">
        <f t="shared" si="5"/>
        <v>40169</v>
      </c>
    </row>
    <row r="349" spans="1:31" ht="12.75" customHeight="1">
      <c r="A349" s="1" t="s">
        <v>759</v>
      </c>
      <c r="C349" s="1" t="s">
        <v>120</v>
      </c>
      <c r="E349" s="34">
        <v>41179</v>
      </c>
      <c r="F349" s="34"/>
      <c r="G349" s="34">
        <v>1556</v>
      </c>
      <c r="H349" s="34"/>
      <c r="I349" s="34">
        <v>6362</v>
      </c>
      <c r="J349" s="34"/>
      <c r="K349" s="34">
        <v>0</v>
      </c>
      <c r="L349" s="34"/>
      <c r="M349" s="34">
        <v>0</v>
      </c>
      <c r="N349" s="34"/>
      <c r="O349" s="34">
        <v>0</v>
      </c>
      <c r="P349" s="34"/>
      <c r="Q349" s="34">
        <v>31728</v>
      </c>
      <c r="R349" s="34"/>
      <c r="S349" s="34">
        <v>4003</v>
      </c>
      <c r="T349" s="34"/>
      <c r="U349" s="34">
        <v>0</v>
      </c>
      <c r="V349" s="34"/>
      <c r="W349" s="34">
        <v>0</v>
      </c>
      <c r="X349" s="34"/>
      <c r="Y349" s="34">
        <v>0</v>
      </c>
      <c r="Z349" s="32"/>
      <c r="AA349" s="34">
        <v>0</v>
      </c>
      <c r="AB349" s="34"/>
      <c r="AC349" s="34">
        <v>1154</v>
      </c>
      <c r="AD349" s="34"/>
      <c r="AE349" s="33">
        <f t="shared" si="5"/>
        <v>85982</v>
      </c>
    </row>
    <row r="350" spans="1:31" ht="12.75" customHeight="1">
      <c r="A350" s="1" t="s">
        <v>285</v>
      </c>
      <c r="C350" s="1" t="s">
        <v>112</v>
      </c>
      <c r="E350" s="34">
        <v>3868294</v>
      </c>
      <c r="F350" s="34"/>
      <c r="G350" s="34">
        <v>11513</v>
      </c>
      <c r="H350" s="34"/>
      <c r="I350" s="34">
        <v>750018</v>
      </c>
      <c r="J350" s="34"/>
      <c r="K350" s="34">
        <v>381876</v>
      </c>
      <c r="L350" s="34"/>
      <c r="M350" s="34">
        <v>150548</v>
      </c>
      <c r="N350" s="34"/>
      <c r="O350" s="34">
        <v>1505721</v>
      </c>
      <c r="P350" s="34"/>
      <c r="Q350" s="34">
        <v>1881100</v>
      </c>
      <c r="R350" s="34"/>
      <c r="S350" s="34">
        <v>882701</v>
      </c>
      <c r="T350" s="34"/>
      <c r="U350" s="34">
        <v>0</v>
      </c>
      <c r="V350" s="34"/>
      <c r="W350" s="34">
        <v>0</v>
      </c>
      <c r="X350" s="34"/>
      <c r="Y350" s="34">
        <v>1350000</v>
      </c>
      <c r="Z350" s="34"/>
      <c r="AA350" s="34">
        <v>6404</v>
      </c>
      <c r="AB350" s="32"/>
      <c r="AC350" s="34">
        <v>8426</v>
      </c>
      <c r="AD350" s="34"/>
      <c r="AE350" s="33">
        <f t="shared" si="5"/>
        <v>10796601</v>
      </c>
    </row>
    <row r="351" spans="1:31" ht="12.75" customHeight="1">
      <c r="A351" s="1" t="s">
        <v>286</v>
      </c>
      <c r="C351" s="1" t="s">
        <v>236</v>
      </c>
      <c r="E351" s="34">
        <v>115325</v>
      </c>
      <c r="F351" s="34"/>
      <c r="G351" s="34">
        <v>0</v>
      </c>
      <c r="H351" s="34"/>
      <c r="I351" s="34">
        <v>0</v>
      </c>
      <c r="J351" s="34"/>
      <c r="K351" s="34">
        <v>0</v>
      </c>
      <c r="L351" s="34"/>
      <c r="M351" s="34">
        <v>0</v>
      </c>
      <c r="N351" s="34"/>
      <c r="O351" s="34">
        <v>0</v>
      </c>
      <c r="P351" s="34"/>
      <c r="Q351" s="34">
        <v>81351</v>
      </c>
      <c r="R351" s="34"/>
      <c r="S351" s="34">
        <v>0</v>
      </c>
      <c r="T351" s="34"/>
      <c r="U351" s="34">
        <v>15278</v>
      </c>
      <c r="V351" s="34"/>
      <c r="W351" s="34">
        <v>0</v>
      </c>
      <c r="X351" s="34"/>
      <c r="Y351" s="34">
        <v>41622</v>
      </c>
      <c r="Z351" s="34"/>
      <c r="AA351" s="34">
        <v>0</v>
      </c>
      <c r="AB351" s="32"/>
      <c r="AC351" s="34">
        <v>309</v>
      </c>
      <c r="AD351" s="34"/>
      <c r="AE351" s="33">
        <f t="shared" si="5"/>
        <v>253885</v>
      </c>
    </row>
    <row r="352" spans="1:31" ht="12.75" customHeight="1">
      <c r="A352" s="1" t="s">
        <v>788</v>
      </c>
      <c r="C352" s="1" t="s">
        <v>239</v>
      </c>
      <c r="E352" s="34">
        <v>10631</v>
      </c>
      <c r="F352" s="34"/>
      <c r="G352" s="34">
        <v>0</v>
      </c>
      <c r="H352" s="34"/>
      <c r="I352" s="34">
        <v>1017</v>
      </c>
      <c r="J352" s="34"/>
      <c r="K352" s="34">
        <v>0</v>
      </c>
      <c r="L352" s="34"/>
      <c r="M352" s="34">
        <v>0</v>
      </c>
      <c r="N352" s="34"/>
      <c r="O352" s="34">
        <v>0</v>
      </c>
      <c r="P352" s="34"/>
      <c r="Q352" s="34">
        <v>85860</v>
      </c>
      <c r="R352" s="34"/>
      <c r="S352" s="34">
        <v>0</v>
      </c>
      <c r="T352" s="34"/>
      <c r="U352" s="34">
        <v>0</v>
      </c>
      <c r="V352" s="34"/>
      <c r="W352" s="34">
        <v>0</v>
      </c>
      <c r="X352" s="34"/>
      <c r="Y352" s="34">
        <v>39563</v>
      </c>
      <c r="Z352" s="32"/>
      <c r="AA352" s="34">
        <v>0</v>
      </c>
      <c r="AB352" s="34"/>
      <c r="AC352" s="34">
        <v>776</v>
      </c>
      <c r="AD352" s="34"/>
      <c r="AE352" s="33">
        <f t="shared" si="5"/>
        <v>137847</v>
      </c>
    </row>
    <row r="353" spans="1:31" ht="12.75" customHeight="1">
      <c r="A353" s="1" t="s">
        <v>287</v>
      </c>
      <c r="C353" s="1" t="s">
        <v>114</v>
      </c>
      <c r="E353" s="34">
        <v>253173</v>
      </c>
      <c r="F353" s="34"/>
      <c r="G353" s="34">
        <v>41753</v>
      </c>
      <c r="H353" s="34"/>
      <c r="I353" s="34">
        <v>82247</v>
      </c>
      <c r="J353" s="34"/>
      <c r="K353" s="34">
        <v>14197</v>
      </c>
      <c r="L353" s="34"/>
      <c r="M353" s="34">
        <v>98604</v>
      </c>
      <c r="N353" s="34"/>
      <c r="O353" s="34">
        <v>203626</v>
      </c>
      <c r="P353" s="34"/>
      <c r="Q353" s="34">
        <v>246114</v>
      </c>
      <c r="R353" s="34"/>
      <c r="S353" s="34">
        <v>0</v>
      </c>
      <c r="T353" s="34"/>
      <c r="U353" s="34">
        <v>0</v>
      </c>
      <c r="V353" s="34"/>
      <c r="W353" s="34">
        <v>0</v>
      </c>
      <c r="X353" s="34"/>
      <c r="Y353" s="34">
        <v>8640</v>
      </c>
      <c r="Z353" s="34"/>
      <c r="AA353" s="34">
        <v>0</v>
      </c>
      <c r="AB353" s="32"/>
      <c r="AC353" s="34">
        <v>0</v>
      </c>
      <c r="AD353" s="34"/>
      <c r="AE353" s="33">
        <f t="shared" si="5"/>
        <v>948354</v>
      </c>
    </row>
    <row r="354" spans="1:31" ht="12.75" customHeight="1">
      <c r="A354" s="1" t="s">
        <v>789</v>
      </c>
      <c r="C354" s="1" t="s">
        <v>280</v>
      </c>
      <c r="E354" s="34">
        <v>306377</v>
      </c>
      <c r="F354" s="34"/>
      <c r="G354" s="34">
        <v>12090</v>
      </c>
      <c r="H354" s="34"/>
      <c r="I354" s="34">
        <v>14564</v>
      </c>
      <c r="J354" s="34"/>
      <c r="K354" s="34">
        <v>0</v>
      </c>
      <c r="L354" s="34"/>
      <c r="M354" s="34">
        <v>504</v>
      </c>
      <c r="N354" s="34"/>
      <c r="O354" s="34">
        <v>10356</v>
      </c>
      <c r="P354" s="34"/>
      <c r="Q354" s="34">
        <v>153607</v>
      </c>
      <c r="R354" s="34"/>
      <c r="S354" s="34">
        <v>0</v>
      </c>
      <c r="T354" s="34"/>
      <c r="U354" s="34">
        <v>0</v>
      </c>
      <c r="V354" s="34"/>
      <c r="W354" s="34">
        <v>0</v>
      </c>
      <c r="X354" s="34"/>
      <c r="Y354" s="34">
        <v>0</v>
      </c>
      <c r="Z354" s="32"/>
      <c r="AA354" s="34">
        <v>0</v>
      </c>
      <c r="AB354" s="34"/>
      <c r="AC354" s="34">
        <v>0</v>
      </c>
      <c r="AD354" s="34"/>
      <c r="AE354" s="33">
        <f t="shared" si="5"/>
        <v>497498</v>
      </c>
    </row>
    <row r="355" spans="1:31" ht="12.75" customHeight="1">
      <c r="A355" s="1" t="s">
        <v>288</v>
      </c>
      <c r="C355" s="1" t="s">
        <v>276</v>
      </c>
      <c r="E355" s="34">
        <v>361564</v>
      </c>
      <c r="F355" s="34"/>
      <c r="G355" s="34">
        <v>5805</v>
      </c>
      <c r="H355" s="34"/>
      <c r="I355" s="34">
        <v>18039</v>
      </c>
      <c r="J355" s="34"/>
      <c r="K355" s="34">
        <v>3179</v>
      </c>
      <c r="L355" s="34"/>
      <c r="M355" s="34">
        <v>116650</v>
      </c>
      <c r="N355" s="34"/>
      <c r="O355" s="34">
        <v>0</v>
      </c>
      <c r="P355" s="34"/>
      <c r="Q355" s="34">
        <v>374924</v>
      </c>
      <c r="R355" s="34"/>
      <c r="S355" s="34">
        <v>0</v>
      </c>
      <c r="T355" s="34"/>
      <c r="U355" s="34">
        <v>0</v>
      </c>
      <c r="V355" s="34"/>
      <c r="W355" s="34">
        <v>0</v>
      </c>
      <c r="X355" s="34"/>
      <c r="Y355" s="34">
        <v>0</v>
      </c>
      <c r="Z355" s="34"/>
      <c r="AA355" s="34">
        <v>0</v>
      </c>
      <c r="AB355" s="32"/>
      <c r="AC355" s="34">
        <v>19995</v>
      </c>
      <c r="AD355" s="34"/>
      <c r="AE355" s="33">
        <f t="shared" si="5"/>
        <v>900156</v>
      </c>
    </row>
    <row r="356" spans="1:31" ht="12.75" customHeight="1">
      <c r="A356" s="1" t="s">
        <v>790</v>
      </c>
      <c r="C356" s="1" t="s">
        <v>65</v>
      </c>
      <c r="E356" s="34">
        <v>1</v>
      </c>
      <c r="F356" s="34"/>
      <c r="G356" s="34">
        <v>1448</v>
      </c>
      <c r="H356" s="34"/>
      <c r="I356" s="34">
        <v>924</v>
      </c>
      <c r="J356" s="34"/>
      <c r="K356" s="34">
        <v>300</v>
      </c>
      <c r="L356" s="34"/>
      <c r="M356" s="34">
        <v>1442</v>
      </c>
      <c r="N356" s="34"/>
      <c r="O356" s="34">
        <v>8344</v>
      </c>
      <c r="P356" s="34"/>
      <c r="Q356" s="34">
        <v>73137</v>
      </c>
      <c r="R356" s="34"/>
      <c r="S356" s="34">
        <v>455</v>
      </c>
      <c r="T356" s="34"/>
      <c r="U356" s="34">
        <v>0</v>
      </c>
      <c r="V356" s="34"/>
      <c r="W356" s="34">
        <v>0</v>
      </c>
      <c r="X356" s="34"/>
      <c r="Y356" s="34">
        <v>0</v>
      </c>
      <c r="Z356" s="34"/>
      <c r="AA356" s="34">
        <v>0</v>
      </c>
      <c r="AB356" s="32"/>
      <c r="AC356" s="34">
        <v>0</v>
      </c>
      <c r="AD356" s="34"/>
      <c r="AE356" s="33">
        <f t="shared" si="5"/>
        <v>86051</v>
      </c>
    </row>
    <row r="357" spans="1:31" ht="12.75" customHeight="1">
      <c r="A357" s="1" t="s">
        <v>681</v>
      </c>
      <c r="C357" s="1" t="s">
        <v>82</v>
      </c>
      <c r="E357" s="34">
        <v>5105</v>
      </c>
      <c r="F357" s="34"/>
      <c r="G357" s="34">
        <v>69</v>
      </c>
      <c r="H357" s="34"/>
      <c r="I357" s="34">
        <v>2647</v>
      </c>
      <c r="J357" s="34"/>
      <c r="K357" s="34">
        <v>0</v>
      </c>
      <c r="L357" s="34"/>
      <c r="M357" s="34">
        <v>0</v>
      </c>
      <c r="N357" s="34"/>
      <c r="O357" s="34">
        <v>0</v>
      </c>
      <c r="P357" s="34"/>
      <c r="Q357" s="34">
        <v>16503</v>
      </c>
      <c r="R357" s="34"/>
      <c r="S357" s="34">
        <v>532</v>
      </c>
      <c r="T357" s="34"/>
      <c r="U357" s="34">
        <v>0</v>
      </c>
      <c r="V357" s="34"/>
      <c r="W357" s="34">
        <v>650</v>
      </c>
      <c r="X357" s="34"/>
      <c r="Y357" s="34">
        <v>0</v>
      </c>
      <c r="Z357" s="32"/>
      <c r="AA357" s="34">
        <v>0</v>
      </c>
      <c r="AB357" s="34"/>
      <c r="AC357" s="34">
        <v>0</v>
      </c>
      <c r="AD357" s="34"/>
      <c r="AE357" s="33">
        <f t="shared" si="5"/>
        <v>25506</v>
      </c>
    </row>
    <row r="358" spans="1:31" ht="12.75" customHeight="1">
      <c r="A358" s="1" t="s">
        <v>651</v>
      </c>
      <c r="C358" s="1" t="s">
        <v>167</v>
      </c>
      <c r="E358" s="34">
        <v>13438</v>
      </c>
      <c r="F358" s="34"/>
      <c r="G358" s="34">
        <v>0</v>
      </c>
      <c r="H358" s="34"/>
      <c r="I358" s="34">
        <v>0</v>
      </c>
      <c r="J358" s="34"/>
      <c r="K358" s="34">
        <v>0</v>
      </c>
      <c r="L358" s="34"/>
      <c r="M358" s="34">
        <v>132</v>
      </c>
      <c r="N358" s="34"/>
      <c r="O358" s="34">
        <v>8302</v>
      </c>
      <c r="P358" s="34"/>
      <c r="Q358" s="34">
        <v>46874</v>
      </c>
      <c r="R358" s="34"/>
      <c r="S358" s="34">
        <v>0</v>
      </c>
      <c r="T358" s="34"/>
      <c r="U358" s="34">
        <v>0</v>
      </c>
      <c r="V358" s="34"/>
      <c r="W358" s="34">
        <v>0</v>
      </c>
      <c r="X358" s="34"/>
      <c r="Y358" s="34">
        <v>0</v>
      </c>
      <c r="Z358" s="32"/>
      <c r="AA358" s="34">
        <v>0</v>
      </c>
      <c r="AB358" s="34"/>
      <c r="AC358" s="34">
        <v>0</v>
      </c>
      <c r="AD358" s="34"/>
      <c r="AE358" s="33">
        <f t="shared" si="5"/>
        <v>68746</v>
      </c>
    </row>
    <row r="359" spans="1:31" ht="12.75" customHeight="1">
      <c r="A359" s="1" t="s">
        <v>289</v>
      </c>
      <c r="C359" s="1" t="s">
        <v>87</v>
      </c>
      <c r="E359" s="34">
        <v>12752</v>
      </c>
      <c r="F359" s="34"/>
      <c r="G359" s="34">
        <v>0</v>
      </c>
      <c r="H359" s="34"/>
      <c r="I359" s="34">
        <v>13951</v>
      </c>
      <c r="J359" s="34"/>
      <c r="K359" s="34">
        <v>1407</v>
      </c>
      <c r="L359" s="34"/>
      <c r="M359" s="34">
        <v>0</v>
      </c>
      <c r="N359" s="34"/>
      <c r="O359" s="34">
        <v>0</v>
      </c>
      <c r="P359" s="34"/>
      <c r="Q359" s="34">
        <v>129071</v>
      </c>
      <c r="R359" s="34"/>
      <c r="S359" s="34">
        <v>58185</v>
      </c>
      <c r="T359" s="34"/>
      <c r="U359" s="34">
        <v>0</v>
      </c>
      <c r="V359" s="34"/>
      <c r="W359" s="34">
        <v>0</v>
      </c>
      <c r="X359" s="34"/>
      <c r="Y359" s="34">
        <v>47496</v>
      </c>
      <c r="Z359" s="34"/>
      <c r="AA359" s="34">
        <v>0</v>
      </c>
      <c r="AB359" s="32"/>
      <c r="AC359" s="34">
        <v>0</v>
      </c>
      <c r="AD359" s="34"/>
      <c r="AE359" s="33">
        <f t="shared" si="5"/>
        <v>262862</v>
      </c>
    </row>
    <row r="360" spans="1:31" ht="12.75" customHeight="1">
      <c r="A360" s="1" t="s">
        <v>732</v>
      </c>
      <c r="C360" s="1" t="s">
        <v>106</v>
      </c>
      <c r="E360" s="34">
        <v>8314</v>
      </c>
      <c r="F360" s="34"/>
      <c r="G360" s="34">
        <v>5361</v>
      </c>
      <c r="H360" s="34"/>
      <c r="I360" s="34">
        <v>0</v>
      </c>
      <c r="J360" s="34"/>
      <c r="K360" s="34">
        <v>756</v>
      </c>
      <c r="L360" s="34"/>
      <c r="M360" s="34">
        <v>14013</v>
      </c>
      <c r="N360" s="34"/>
      <c r="O360" s="34">
        <v>0</v>
      </c>
      <c r="P360" s="34"/>
      <c r="Q360" s="34">
        <v>48685</v>
      </c>
      <c r="R360" s="34"/>
      <c r="S360" s="34">
        <v>29055</v>
      </c>
      <c r="T360" s="34"/>
      <c r="U360" s="34">
        <v>0</v>
      </c>
      <c r="V360" s="34"/>
      <c r="W360" s="34">
        <v>0</v>
      </c>
      <c r="X360" s="34"/>
      <c r="Y360" s="34">
        <v>7493</v>
      </c>
      <c r="Z360" s="32"/>
      <c r="AA360" s="34">
        <v>0</v>
      </c>
      <c r="AB360" s="34"/>
      <c r="AC360" s="34">
        <v>0</v>
      </c>
      <c r="AD360" s="34"/>
      <c r="AE360" s="33">
        <f t="shared" si="5"/>
        <v>113677</v>
      </c>
    </row>
    <row r="361" spans="1:31" ht="12.75" customHeight="1">
      <c r="A361" s="1" t="s">
        <v>749</v>
      </c>
      <c r="C361" s="1" t="s">
        <v>192</v>
      </c>
      <c r="E361" s="34">
        <v>12850</v>
      </c>
      <c r="F361" s="34"/>
      <c r="G361" s="34">
        <v>4114</v>
      </c>
      <c r="H361" s="34"/>
      <c r="I361" s="34">
        <v>0</v>
      </c>
      <c r="J361" s="34"/>
      <c r="K361" s="34">
        <v>5498</v>
      </c>
      <c r="L361" s="34"/>
      <c r="M361" s="34">
        <v>0</v>
      </c>
      <c r="N361" s="34"/>
      <c r="O361" s="34">
        <v>0</v>
      </c>
      <c r="P361" s="34"/>
      <c r="Q361" s="34">
        <v>91374</v>
      </c>
      <c r="R361" s="34"/>
      <c r="S361" s="34">
        <v>0</v>
      </c>
      <c r="T361" s="34"/>
      <c r="U361" s="34">
        <v>1710</v>
      </c>
      <c r="V361" s="34"/>
      <c r="W361" s="34">
        <v>6278</v>
      </c>
      <c r="X361" s="34"/>
      <c r="Y361" s="34">
        <v>0</v>
      </c>
      <c r="Z361" s="32"/>
      <c r="AA361" s="34">
        <v>0</v>
      </c>
      <c r="AB361" s="34"/>
      <c r="AC361" s="34">
        <v>0</v>
      </c>
      <c r="AD361" s="34"/>
      <c r="AE361" s="33">
        <f t="shared" si="5"/>
        <v>121824</v>
      </c>
    </row>
    <row r="362" spans="1:31" ht="12.75" customHeight="1">
      <c r="A362" s="1" t="s">
        <v>290</v>
      </c>
      <c r="C362" s="1" t="s">
        <v>291</v>
      </c>
      <c r="E362" s="34">
        <v>829280</v>
      </c>
      <c r="F362" s="34"/>
      <c r="G362" s="34">
        <v>0</v>
      </c>
      <c r="H362" s="34"/>
      <c r="I362" s="34">
        <v>48348</v>
      </c>
      <c r="J362" s="34"/>
      <c r="K362" s="34">
        <v>116436</v>
      </c>
      <c r="L362" s="34"/>
      <c r="M362" s="34">
        <v>18352</v>
      </c>
      <c r="N362" s="34"/>
      <c r="O362" s="34">
        <v>17340</v>
      </c>
      <c r="P362" s="34"/>
      <c r="Q362" s="34">
        <v>259528</v>
      </c>
      <c r="R362" s="34"/>
      <c r="S362" s="34">
        <v>0</v>
      </c>
      <c r="T362" s="34"/>
      <c r="U362" s="34">
        <v>0</v>
      </c>
      <c r="V362" s="34"/>
      <c r="W362" s="34">
        <v>0</v>
      </c>
      <c r="X362" s="34"/>
      <c r="Y362" s="34">
        <v>75366</v>
      </c>
      <c r="Z362" s="34"/>
      <c r="AA362" s="34">
        <v>0</v>
      </c>
      <c r="AB362" s="32"/>
      <c r="AC362" s="34">
        <v>0</v>
      </c>
      <c r="AD362" s="34"/>
      <c r="AE362" s="33">
        <f t="shared" si="5"/>
        <v>1364650</v>
      </c>
    </row>
    <row r="363" spans="1:31" ht="12.75" customHeight="1">
      <c r="A363" s="1" t="s">
        <v>646</v>
      </c>
      <c r="C363" s="1" t="s">
        <v>372</v>
      </c>
      <c r="E363" s="34">
        <v>292536</v>
      </c>
      <c r="F363" s="34"/>
      <c r="G363" s="34">
        <v>0</v>
      </c>
      <c r="H363" s="34"/>
      <c r="I363" s="34">
        <v>0</v>
      </c>
      <c r="J363" s="34"/>
      <c r="K363" s="34">
        <v>0</v>
      </c>
      <c r="L363" s="34"/>
      <c r="M363" s="34">
        <v>0</v>
      </c>
      <c r="N363" s="34"/>
      <c r="O363" s="34">
        <v>0</v>
      </c>
      <c r="P363" s="34"/>
      <c r="Q363" s="34">
        <v>189528</v>
      </c>
      <c r="R363" s="34"/>
      <c r="S363" s="34">
        <v>0</v>
      </c>
      <c r="T363" s="34"/>
      <c r="U363" s="34">
        <v>0</v>
      </c>
      <c r="V363" s="34"/>
      <c r="W363" s="34">
        <v>3712</v>
      </c>
      <c r="X363" s="34"/>
      <c r="Y363" s="34">
        <v>17564</v>
      </c>
      <c r="Z363" s="32"/>
      <c r="AA363" s="34">
        <v>0</v>
      </c>
      <c r="AB363" s="34"/>
      <c r="AC363" s="34">
        <v>21504</v>
      </c>
      <c r="AD363" s="34"/>
      <c r="AE363" s="33">
        <f t="shared" si="5"/>
        <v>524844</v>
      </c>
    </row>
    <row r="364" spans="1:31" ht="12.75" customHeight="1">
      <c r="A364" s="1" t="s">
        <v>739</v>
      </c>
      <c r="C364" s="1" t="s">
        <v>96</v>
      </c>
      <c r="E364" s="34">
        <v>77836</v>
      </c>
      <c r="F364" s="34"/>
      <c r="G364" s="34">
        <v>2755</v>
      </c>
      <c r="H364" s="34"/>
      <c r="I364" s="34">
        <v>14021</v>
      </c>
      <c r="J364" s="34"/>
      <c r="K364" s="34">
        <v>0</v>
      </c>
      <c r="L364" s="34"/>
      <c r="M364" s="34">
        <v>15750</v>
      </c>
      <c r="N364" s="34"/>
      <c r="O364" s="34">
        <v>4100</v>
      </c>
      <c r="P364" s="34"/>
      <c r="Q364" s="34">
        <v>106943</v>
      </c>
      <c r="R364" s="34"/>
      <c r="S364" s="34">
        <v>0</v>
      </c>
      <c r="T364" s="34"/>
      <c r="U364" s="34">
        <v>0</v>
      </c>
      <c r="V364" s="34"/>
      <c r="W364" s="34">
        <v>0</v>
      </c>
      <c r="X364" s="34"/>
      <c r="Y364" s="34">
        <v>19000</v>
      </c>
      <c r="Z364" s="32"/>
      <c r="AA364" s="34">
        <v>0</v>
      </c>
      <c r="AB364" s="34"/>
      <c r="AC364" s="34">
        <v>0</v>
      </c>
      <c r="AD364" s="34"/>
      <c r="AE364" s="33">
        <f t="shared" si="5"/>
        <v>240405</v>
      </c>
    </row>
    <row r="365" spans="1:31" ht="12.75" customHeight="1">
      <c r="A365" s="1" t="s">
        <v>292</v>
      </c>
      <c r="C365" s="1" t="s">
        <v>293</v>
      </c>
      <c r="E365" s="34">
        <v>1500</v>
      </c>
      <c r="F365" s="34"/>
      <c r="G365" s="34">
        <v>0</v>
      </c>
      <c r="H365" s="34"/>
      <c r="I365" s="34">
        <v>15831</v>
      </c>
      <c r="J365" s="34"/>
      <c r="K365" s="34">
        <v>0</v>
      </c>
      <c r="L365" s="34"/>
      <c r="M365" s="34">
        <v>3463</v>
      </c>
      <c r="N365" s="34"/>
      <c r="O365" s="34">
        <v>0</v>
      </c>
      <c r="P365" s="34"/>
      <c r="Q365" s="34">
        <v>23020</v>
      </c>
      <c r="R365" s="34"/>
      <c r="S365" s="34">
        <v>0</v>
      </c>
      <c r="T365" s="34"/>
      <c r="U365" s="34">
        <v>0</v>
      </c>
      <c r="V365" s="34"/>
      <c r="W365" s="34">
        <v>0</v>
      </c>
      <c r="X365" s="34"/>
      <c r="Y365" s="34">
        <v>0</v>
      </c>
      <c r="Z365" s="34"/>
      <c r="AA365" s="34">
        <v>0</v>
      </c>
      <c r="AB365" s="32"/>
      <c r="AC365" s="34">
        <v>0</v>
      </c>
      <c r="AD365" s="34"/>
      <c r="AE365" s="33">
        <f t="shared" si="5"/>
        <v>43814</v>
      </c>
    </row>
    <row r="366" spans="1:31" ht="12.75" customHeight="1">
      <c r="A366" s="1" t="s">
        <v>454</v>
      </c>
      <c r="C366" s="1" t="s">
        <v>453</v>
      </c>
      <c r="E366" s="34">
        <v>20465</v>
      </c>
      <c r="F366" s="34"/>
      <c r="G366" s="34">
        <v>845</v>
      </c>
      <c r="H366" s="34"/>
      <c r="I366" s="34">
        <v>278</v>
      </c>
      <c r="J366" s="34"/>
      <c r="K366" s="34">
        <v>2728</v>
      </c>
      <c r="L366" s="34"/>
      <c r="M366" s="34">
        <v>0</v>
      </c>
      <c r="N366" s="34"/>
      <c r="O366" s="34">
        <v>0</v>
      </c>
      <c r="P366" s="34"/>
      <c r="Q366" s="34">
        <v>27110</v>
      </c>
      <c r="R366" s="34"/>
      <c r="S366" s="34">
        <v>0</v>
      </c>
      <c r="T366" s="34"/>
      <c r="U366" s="34">
        <v>0</v>
      </c>
      <c r="V366" s="34"/>
      <c r="W366" s="34">
        <v>0</v>
      </c>
      <c r="X366" s="34"/>
      <c r="Y366" s="34">
        <v>0</v>
      </c>
      <c r="Z366" s="32"/>
      <c r="AA366" s="34">
        <v>0</v>
      </c>
      <c r="AB366" s="34"/>
      <c r="AC366" s="34">
        <v>0</v>
      </c>
      <c r="AD366" s="34"/>
      <c r="AE366" s="33">
        <f t="shared" si="5"/>
        <v>51426</v>
      </c>
    </row>
    <row r="367" spans="1:31" ht="12.75" customHeight="1">
      <c r="A367" s="1" t="s">
        <v>294</v>
      </c>
      <c r="C367" s="1" t="s">
        <v>261</v>
      </c>
      <c r="E367" s="34">
        <v>283149</v>
      </c>
      <c r="F367" s="34"/>
      <c r="G367" s="34">
        <v>0</v>
      </c>
      <c r="H367" s="34"/>
      <c r="I367" s="34">
        <v>5801</v>
      </c>
      <c r="J367" s="34"/>
      <c r="K367" s="34">
        <v>4091</v>
      </c>
      <c r="L367" s="34"/>
      <c r="M367" s="34">
        <v>0</v>
      </c>
      <c r="N367" s="34"/>
      <c r="O367" s="34">
        <v>117908</v>
      </c>
      <c r="P367" s="34"/>
      <c r="Q367" s="34">
        <v>95521</v>
      </c>
      <c r="R367" s="34"/>
      <c r="S367" s="34">
        <v>3975</v>
      </c>
      <c r="T367" s="34"/>
      <c r="U367" s="34">
        <v>0</v>
      </c>
      <c r="V367" s="34"/>
      <c r="W367" s="34">
        <v>0</v>
      </c>
      <c r="X367" s="34"/>
      <c r="Y367" s="34">
        <v>227958</v>
      </c>
      <c r="Z367" s="34"/>
      <c r="AA367" s="34">
        <v>0</v>
      </c>
      <c r="AB367" s="32"/>
      <c r="AC367" s="34">
        <v>0</v>
      </c>
      <c r="AD367" s="34"/>
      <c r="AE367" s="33">
        <f t="shared" si="5"/>
        <v>738403</v>
      </c>
    </row>
    <row r="368" spans="1:31" ht="12.75" customHeight="1">
      <c r="A368" s="1" t="s">
        <v>745</v>
      </c>
      <c r="C368" s="1" t="s">
        <v>744</v>
      </c>
      <c r="E368" s="34">
        <v>32850</v>
      </c>
      <c r="F368" s="34"/>
      <c r="G368" s="34">
        <v>0</v>
      </c>
      <c r="H368" s="34"/>
      <c r="I368" s="34">
        <v>10000</v>
      </c>
      <c r="J368" s="34"/>
      <c r="K368" s="34">
        <v>6330</v>
      </c>
      <c r="L368" s="34"/>
      <c r="M368" s="34">
        <v>11244</v>
      </c>
      <c r="N368" s="34"/>
      <c r="O368" s="34">
        <v>7000</v>
      </c>
      <c r="P368" s="34"/>
      <c r="Q368" s="34">
        <v>103712</v>
      </c>
      <c r="R368" s="34"/>
      <c r="S368" s="34">
        <v>0</v>
      </c>
      <c r="T368" s="34"/>
      <c r="U368" s="34">
        <v>0</v>
      </c>
      <c r="V368" s="34"/>
      <c r="W368" s="34">
        <v>400</v>
      </c>
      <c r="X368" s="34"/>
      <c r="Y368" s="34">
        <v>0</v>
      </c>
      <c r="Z368" s="32"/>
      <c r="AA368" s="34">
        <v>0</v>
      </c>
      <c r="AB368" s="34"/>
      <c r="AC368" s="34">
        <v>0</v>
      </c>
      <c r="AD368" s="34"/>
      <c r="AE368" s="33">
        <f t="shared" si="5"/>
        <v>171536</v>
      </c>
    </row>
    <row r="369" spans="1:31" ht="12.75" customHeight="1">
      <c r="A369" s="1" t="s">
        <v>773</v>
      </c>
      <c r="C369" s="1" t="s">
        <v>94</v>
      </c>
      <c r="E369" s="34">
        <v>36500</v>
      </c>
      <c r="F369" s="34"/>
      <c r="G369" s="34">
        <v>0</v>
      </c>
      <c r="H369" s="34"/>
      <c r="I369" s="34">
        <v>22174</v>
      </c>
      <c r="J369" s="34"/>
      <c r="K369" s="34">
        <v>6213</v>
      </c>
      <c r="L369" s="34"/>
      <c r="M369" s="34">
        <v>37470</v>
      </c>
      <c r="N369" s="34"/>
      <c r="O369" s="34">
        <v>15328</v>
      </c>
      <c r="P369" s="34"/>
      <c r="Q369" s="34">
        <v>66623</v>
      </c>
      <c r="R369" s="34"/>
      <c r="S369" s="34">
        <v>1955</v>
      </c>
      <c r="T369" s="34"/>
      <c r="U369" s="34">
        <v>13883</v>
      </c>
      <c r="V369" s="34"/>
      <c r="W369" s="34">
        <v>0</v>
      </c>
      <c r="X369" s="34"/>
      <c r="Y369" s="34">
        <v>0</v>
      </c>
      <c r="Z369" s="32"/>
      <c r="AA369" s="34">
        <v>0</v>
      </c>
      <c r="AB369" s="34"/>
      <c r="AC369" s="34">
        <v>0</v>
      </c>
      <c r="AD369" s="34"/>
      <c r="AE369" s="33">
        <f t="shared" si="5"/>
        <v>200146</v>
      </c>
    </row>
    <row r="370" spans="1:31" ht="12.75" customHeight="1">
      <c r="A370" s="1" t="s">
        <v>539</v>
      </c>
      <c r="C370" s="1" t="s">
        <v>200</v>
      </c>
      <c r="E370" s="34">
        <v>4313</v>
      </c>
      <c r="F370" s="34"/>
      <c r="G370" s="34">
        <v>116</v>
      </c>
      <c r="H370" s="34"/>
      <c r="I370" s="34">
        <v>0</v>
      </c>
      <c r="J370" s="34"/>
      <c r="K370" s="34">
        <v>0</v>
      </c>
      <c r="L370" s="34"/>
      <c r="M370" s="34">
        <v>1824</v>
      </c>
      <c r="N370" s="34"/>
      <c r="O370" s="34">
        <v>0</v>
      </c>
      <c r="P370" s="34"/>
      <c r="Q370" s="34">
        <v>10115</v>
      </c>
      <c r="R370" s="34"/>
      <c r="S370" s="34">
        <v>0</v>
      </c>
      <c r="T370" s="34"/>
      <c r="U370" s="34">
        <v>0</v>
      </c>
      <c r="V370" s="34"/>
      <c r="W370" s="34">
        <v>0</v>
      </c>
      <c r="X370" s="34"/>
      <c r="Y370" s="34">
        <v>0</v>
      </c>
      <c r="Z370" s="32"/>
      <c r="AA370" s="34">
        <v>0</v>
      </c>
      <c r="AB370" s="34"/>
      <c r="AC370" s="34">
        <v>0</v>
      </c>
      <c r="AD370" s="34"/>
      <c r="AE370" s="33">
        <f t="shared" si="5"/>
        <v>16368</v>
      </c>
    </row>
    <row r="371" spans="1:31" ht="12.75" customHeight="1">
      <c r="A371" s="1" t="s">
        <v>707</v>
      </c>
      <c r="C371" s="1" t="s">
        <v>110</v>
      </c>
      <c r="E371" s="34">
        <v>13656</v>
      </c>
      <c r="F371" s="34"/>
      <c r="G371" s="34">
        <v>0</v>
      </c>
      <c r="H371" s="34"/>
      <c r="I371" s="34">
        <v>0</v>
      </c>
      <c r="J371" s="34"/>
      <c r="K371" s="34">
        <v>605</v>
      </c>
      <c r="L371" s="34"/>
      <c r="M371" s="34">
        <v>3701</v>
      </c>
      <c r="N371" s="34"/>
      <c r="O371" s="34">
        <v>1768</v>
      </c>
      <c r="P371" s="34"/>
      <c r="Q371" s="34">
        <v>16319</v>
      </c>
      <c r="R371" s="34"/>
      <c r="S371" s="34">
        <v>0</v>
      </c>
      <c r="T371" s="34"/>
      <c r="U371" s="34">
        <v>0</v>
      </c>
      <c r="V371" s="34"/>
      <c r="W371" s="34">
        <v>0</v>
      </c>
      <c r="X371" s="34"/>
      <c r="Y371" s="34">
        <v>0</v>
      </c>
      <c r="Z371" s="32"/>
      <c r="AA371" s="34">
        <v>0</v>
      </c>
      <c r="AB371" s="34"/>
      <c r="AC371" s="34">
        <v>0</v>
      </c>
      <c r="AD371" s="34"/>
      <c r="AE371" s="33">
        <f t="shared" si="5"/>
        <v>36049</v>
      </c>
    </row>
    <row r="372" spans="1:31" ht="12.75" customHeight="1">
      <c r="A372" s="1" t="s">
        <v>295</v>
      </c>
      <c r="C372" s="1" t="s">
        <v>221</v>
      </c>
      <c r="E372" s="34">
        <v>626000</v>
      </c>
      <c r="F372" s="34"/>
      <c r="G372" s="34">
        <v>14819</v>
      </c>
      <c r="H372" s="34"/>
      <c r="I372" s="34">
        <v>96513</v>
      </c>
      <c r="J372" s="34"/>
      <c r="K372" s="34">
        <v>2631</v>
      </c>
      <c r="L372" s="34"/>
      <c r="M372" s="34">
        <v>0</v>
      </c>
      <c r="N372" s="34"/>
      <c r="O372" s="34">
        <v>54919</v>
      </c>
      <c r="P372" s="34"/>
      <c r="Q372" s="34">
        <v>399835</v>
      </c>
      <c r="R372" s="34"/>
      <c r="S372" s="34">
        <v>0</v>
      </c>
      <c r="T372" s="34"/>
      <c r="U372" s="34">
        <v>7909</v>
      </c>
      <c r="V372" s="34"/>
      <c r="W372" s="34">
        <v>1792</v>
      </c>
      <c r="X372" s="34"/>
      <c r="Y372" s="34">
        <v>256880</v>
      </c>
      <c r="Z372" s="34"/>
      <c r="AA372" s="34">
        <v>0</v>
      </c>
      <c r="AB372" s="32"/>
      <c r="AC372" s="34">
        <v>0</v>
      </c>
      <c r="AD372" s="34"/>
      <c r="AE372" s="33">
        <f t="shared" si="5"/>
        <v>1461298</v>
      </c>
    </row>
    <row r="373" spans="1:31" ht="12.75" customHeight="1">
      <c r="A373" s="1" t="s">
        <v>532</v>
      </c>
      <c r="C373" s="1" t="s">
        <v>98</v>
      </c>
      <c r="E373" s="34">
        <v>28424</v>
      </c>
      <c r="F373" s="34"/>
      <c r="G373" s="34">
        <v>4394</v>
      </c>
      <c r="H373" s="34"/>
      <c r="I373" s="34">
        <v>0</v>
      </c>
      <c r="J373" s="34"/>
      <c r="K373" s="34">
        <v>193</v>
      </c>
      <c r="L373" s="34"/>
      <c r="M373" s="34">
        <v>0</v>
      </c>
      <c r="N373" s="34"/>
      <c r="O373" s="34">
        <v>0</v>
      </c>
      <c r="P373" s="34"/>
      <c r="Q373" s="34">
        <v>68548</v>
      </c>
      <c r="R373" s="34"/>
      <c r="S373" s="34">
        <v>5615</v>
      </c>
      <c r="T373" s="34"/>
      <c r="U373" s="34">
        <v>4111</v>
      </c>
      <c r="V373" s="34"/>
      <c r="W373" s="34">
        <v>2381</v>
      </c>
      <c r="X373" s="34"/>
      <c r="Y373" s="34">
        <v>0</v>
      </c>
      <c r="Z373" s="32"/>
      <c r="AA373" s="34">
        <v>0</v>
      </c>
      <c r="AB373" s="34"/>
      <c r="AC373" s="34">
        <v>0</v>
      </c>
      <c r="AD373" s="34"/>
      <c r="AE373" s="33">
        <f t="shared" si="5"/>
        <v>113666</v>
      </c>
    </row>
    <row r="374" spans="1:31" ht="12.75" customHeight="1">
      <c r="A374" s="1" t="s">
        <v>478</v>
      </c>
      <c r="C374" s="1" t="s">
        <v>146</v>
      </c>
      <c r="E374" s="34">
        <v>102664</v>
      </c>
      <c r="F374" s="34"/>
      <c r="G374" s="34">
        <v>263</v>
      </c>
      <c r="H374" s="34"/>
      <c r="I374" s="34">
        <v>0</v>
      </c>
      <c r="J374" s="34"/>
      <c r="K374" s="34">
        <v>0</v>
      </c>
      <c r="L374" s="34"/>
      <c r="M374" s="34">
        <v>0</v>
      </c>
      <c r="N374" s="34"/>
      <c r="O374" s="34">
        <v>0</v>
      </c>
      <c r="P374" s="34"/>
      <c r="Q374" s="34">
        <v>38777</v>
      </c>
      <c r="R374" s="34"/>
      <c r="S374" s="34">
        <v>0</v>
      </c>
      <c r="T374" s="34"/>
      <c r="U374" s="34">
        <v>0</v>
      </c>
      <c r="V374" s="34"/>
      <c r="W374" s="34">
        <v>0</v>
      </c>
      <c r="X374" s="34"/>
      <c r="Y374" s="34">
        <v>0</v>
      </c>
      <c r="Z374" s="32"/>
      <c r="AA374" s="34">
        <v>0</v>
      </c>
      <c r="AB374" s="34"/>
      <c r="AC374" s="34">
        <v>0</v>
      </c>
      <c r="AD374" s="34"/>
      <c r="AE374" s="33">
        <f t="shared" si="5"/>
        <v>141704</v>
      </c>
    </row>
    <row r="375" spans="1:31" ht="12.75" customHeight="1">
      <c r="A375" s="1" t="s">
        <v>296</v>
      </c>
      <c r="C375" s="1" t="s">
        <v>94</v>
      </c>
      <c r="E375" s="34">
        <v>2831</v>
      </c>
      <c r="F375" s="34"/>
      <c r="G375" s="34">
        <v>1060</v>
      </c>
      <c r="H375" s="34"/>
      <c r="I375" s="34">
        <v>0</v>
      </c>
      <c r="J375" s="34"/>
      <c r="K375" s="34">
        <v>3556</v>
      </c>
      <c r="L375" s="34"/>
      <c r="M375" s="34">
        <v>2269</v>
      </c>
      <c r="N375" s="34"/>
      <c r="O375" s="34">
        <v>230</v>
      </c>
      <c r="P375" s="34"/>
      <c r="Q375" s="34">
        <v>7271</v>
      </c>
      <c r="R375" s="34"/>
      <c r="S375" s="34">
        <v>0</v>
      </c>
      <c r="T375" s="34"/>
      <c r="U375" s="34">
        <v>0</v>
      </c>
      <c r="V375" s="34"/>
      <c r="W375" s="34">
        <v>0</v>
      </c>
      <c r="X375" s="34"/>
      <c r="Y375" s="34">
        <v>1000</v>
      </c>
      <c r="Z375" s="34"/>
      <c r="AA375" s="34">
        <v>0</v>
      </c>
      <c r="AB375" s="32"/>
      <c r="AC375" s="34">
        <v>0</v>
      </c>
      <c r="AD375" s="34"/>
      <c r="AE375" s="33">
        <f t="shared" si="5"/>
        <v>18217</v>
      </c>
    </row>
    <row r="376" spans="1:31" ht="12.75" customHeight="1">
      <c r="A376" s="1" t="s">
        <v>297</v>
      </c>
      <c r="C376" s="1" t="s">
        <v>80</v>
      </c>
      <c r="E376" s="34">
        <v>874</v>
      </c>
      <c r="F376" s="34"/>
      <c r="G376" s="34">
        <v>180</v>
      </c>
      <c r="H376" s="34"/>
      <c r="I376" s="34">
        <v>0</v>
      </c>
      <c r="J376" s="34"/>
      <c r="K376" s="34">
        <v>0</v>
      </c>
      <c r="L376" s="34"/>
      <c r="M376" s="34">
        <v>163</v>
      </c>
      <c r="N376" s="34"/>
      <c r="O376" s="34">
        <v>0</v>
      </c>
      <c r="P376" s="34"/>
      <c r="Q376" s="34">
        <v>2396</v>
      </c>
      <c r="R376" s="34"/>
      <c r="S376" s="34">
        <v>0</v>
      </c>
      <c r="T376" s="34"/>
      <c r="U376" s="34">
        <v>0</v>
      </c>
      <c r="V376" s="34"/>
      <c r="W376" s="34">
        <v>0</v>
      </c>
      <c r="X376" s="34"/>
      <c r="Y376" s="34">
        <v>0</v>
      </c>
      <c r="Z376" s="34"/>
      <c r="AA376" s="34">
        <v>0</v>
      </c>
      <c r="AB376" s="32"/>
      <c r="AC376" s="34">
        <v>0</v>
      </c>
      <c r="AD376" s="34"/>
      <c r="AE376" s="33">
        <f t="shared" si="5"/>
        <v>3613</v>
      </c>
    </row>
    <row r="377" spans="1:31" ht="12.75" customHeight="1">
      <c r="A377" s="1" t="s">
        <v>740</v>
      </c>
      <c r="C377" s="1" t="s">
        <v>96</v>
      </c>
      <c r="E377" s="34">
        <v>2864</v>
      </c>
      <c r="F377" s="34"/>
      <c r="G377" s="34">
        <v>290</v>
      </c>
      <c r="H377" s="34"/>
      <c r="I377" s="34">
        <v>6367</v>
      </c>
      <c r="J377" s="34"/>
      <c r="K377" s="34">
        <v>1400</v>
      </c>
      <c r="L377" s="34"/>
      <c r="M377" s="34">
        <v>11545</v>
      </c>
      <c r="N377" s="34"/>
      <c r="O377" s="34">
        <v>14329</v>
      </c>
      <c r="P377" s="34"/>
      <c r="Q377" s="34">
        <v>55474</v>
      </c>
      <c r="R377" s="34"/>
      <c r="S377" s="34">
        <v>25717</v>
      </c>
      <c r="T377" s="34"/>
      <c r="U377" s="34">
        <v>0</v>
      </c>
      <c r="V377" s="34"/>
      <c r="W377" s="34">
        <v>0</v>
      </c>
      <c r="X377" s="34"/>
      <c r="Y377" s="34">
        <v>21000</v>
      </c>
      <c r="Z377" s="32"/>
      <c r="AA377" s="34">
        <v>21450</v>
      </c>
      <c r="AB377" s="34"/>
      <c r="AC377" s="34">
        <v>7988</v>
      </c>
      <c r="AD377" s="34"/>
      <c r="AE377" s="33">
        <f t="shared" si="5"/>
        <v>168424</v>
      </c>
    </row>
    <row r="378" spans="1:31" ht="12.75" customHeight="1">
      <c r="A378" s="1" t="s">
        <v>298</v>
      </c>
      <c r="C378" s="1" t="s">
        <v>106</v>
      </c>
      <c r="E378" s="34">
        <v>939993</v>
      </c>
      <c r="F378" s="34"/>
      <c r="G378" s="34">
        <v>13035</v>
      </c>
      <c r="H378" s="34"/>
      <c r="I378" s="34">
        <v>0</v>
      </c>
      <c r="J378" s="34"/>
      <c r="K378" s="34">
        <v>3275</v>
      </c>
      <c r="L378" s="34"/>
      <c r="M378" s="34">
        <v>11956</v>
      </c>
      <c r="N378" s="34"/>
      <c r="O378" s="34">
        <v>0</v>
      </c>
      <c r="P378" s="34"/>
      <c r="Q378" s="34">
        <v>405465</v>
      </c>
      <c r="R378" s="34"/>
      <c r="S378" s="34">
        <v>0</v>
      </c>
      <c r="T378" s="34"/>
      <c r="U378" s="34">
        <v>0</v>
      </c>
      <c r="V378" s="34"/>
      <c r="W378" s="34">
        <v>0</v>
      </c>
      <c r="X378" s="34"/>
      <c r="Y378" s="34">
        <v>38244</v>
      </c>
      <c r="Z378" s="34"/>
      <c r="AA378" s="34">
        <v>0</v>
      </c>
      <c r="AB378" s="32"/>
      <c r="AC378" s="34">
        <v>0</v>
      </c>
      <c r="AD378" s="34"/>
      <c r="AE378" s="33">
        <f t="shared" si="5"/>
        <v>1411968</v>
      </c>
    </row>
    <row r="379" spans="1:31" ht="12.75" customHeight="1">
      <c r="A379" s="1" t="s">
        <v>545</v>
      </c>
      <c r="C379" s="1" t="s">
        <v>149</v>
      </c>
      <c r="E379" s="34">
        <v>391009</v>
      </c>
      <c r="F379" s="34"/>
      <c r="G379" s="34">
        <v>1030</v>
      </c>
      <c r="H379" s="34"/>
      <c r="I379" s="34">
        <v>6878</v>
      </c>
      <c r="J379" s="34"/>
      <c r="K379" s="34">
        <v>3272</v>
      </c>
      <c r="L379" s="34"/>
      <c r="M379" s="34">
        <v>108915</v>
      </c>
      <c r="N379" s="34"/>
      <c r="O379" s="34">
        <v>42750</v>
      </c>
      <c r="P379" s="34"/>
      <c r="Q379" s="34">
        <v>199210</v>
      </c>
      <c r="R379" s="34"/>
      <c r="S379" s="34">
        <v>65009</v>
      </c>
      <c r="T379" s="34"/>
      <c r="U379" s="34">
        <v>0</v>
      </c>
      <c r="V379" s="34"/>
      <c r="W379" s="34">
        <v>0</v>
      </c>
      <c r="X379" s="34"/>
      <c r="Y379" s="34">
        <v>12740</v>
      </c>
      <c r="Z379" s="32"/>
      <c r="AA379" s="34">
        <v>0</v>
      </c>
      <c r="AB379" s="34"/>
      <c r="AC379" s="34">
        <v>0</v>
      </c>
      <c r="AD379" s="34"/>
      <c r="AE379" s="33">
        <f t="shared" si="5"/>
        <v>830813</v>
      </c>
    </row>
    <row r="380" spans="1:31" ht="12.75" customHeight="1">
      <c r="A380" s="1" t="s">
        <v>299</v>
      </c>
      <c r="C380" s="1" t="s">
        <v>69</v>
      </c>
      <c r="E380" s="34">
        <v>763590</v>
      </c>
      <c r="F380" s="34"/>
      <c r="G380" s="34">
        <v>21233</v>
      </c>
      <c r="H380" s="34"/>
      <c r="I380" s="34">
        <v>176195</v>
      </c>
      <c r="J380" s="34"/>
      <c r="K380" s="34">
        <v>0</v>
      </c>
      <c r="L380" s="34"/>
      <c r="M380" s="34">
        <v>0</v>
      </c>
      <c r="N380" s="34"/>
      <c r="O380" s="34">
        <v>323031</v>
      </c>
      <c r="P380" s="34"/>
      <c r="Q380" s="34">
        <v>399008</v>
      </c>
      <c r="R380" s="34"/>
      <c r="S380" s="34">
        <v>24304</v>
      </c>
      <c r="T380" s="34"/>
      <c r="U380" s="34">
        <v>0</v>
      </c>
      <c r="V380" s="34"/>
      <c r="W380" s="34">
        <v>0</v>
      </c>
      <c r="X380" s="34"/>
      <c r="Y380" s="34">
        <v>371500</v>
      </c>
      <c r="Z380" s="34"/>
      <c r="AA380" s="34">
        <v>0</v>
      </c>
      <c r="AB380" s="32"/>
      <c r="AC380" s="34">
        <v>0</v>
      </c>
      <c r="AD380" s="34"/>
      <c r="AE380" s="33">
        <f t="shared" si="5"/>
        <v>2078861</v>
      </c>
    </row>
    <row r="381" spans="1:31" ht="12.75" customHeight="1">
      <c r="A381" s="1" t="s">
        <v>300</v>
      </c>
      <c r="C381" s="1" t="s">
        <v>177</v>
      </c>
      <c r="E381" s="34">
        <v>555001</v>
      </c>
      <c r="F381" s="34"/>
      <c r="G381" s="34">
        <v>600</v>
      </c>
      <c r="H381" s="34"/>
      <c r="I381" s="34">
        <v>0</v>
      </c>
      <c r="J381" s="34"/>
      <c r="K381" s="34">
        <v>11227</v>
      </c>
      <c r="L381" s="34"/>
      <c r="M381" s="34">
        <v>0</v>
      </c>
      <c r="N381" s="34"/>
      <c r="O381" s="34">
        <v>0</v>
      </c>
      <c r="P381" s="34"/>
      <c r="Q381" s="34">
        <v>282732</v>
      </c>
      <c r="R381" s="34"/>
      <c r="S381" s="34">
        <v>104263</v>
      </c>
      <c r="T381" s="34"/>
      <c r="U381" s="34">
        <v>0</v>
      </c>
      <c r="V381" s="34"/>
      <c r="W381" s="34">
        <v>0</v>
      </c>
      <c r="X381" s="34"/>
      <c r="Y381" s="34">
        <v>1005572</v>
      </c>
      <c r="Z381" s="34"/>
      <c r="AA381" s="34">
        <v>0</v>
      </c>
      <c r="AB381" s="32"/>
      <c r="AC381" s="34">
        <v>0</v>
      </c>
      <c r="AD381" s="34"/>
      <c r="AE381" s="33">
        <f t="shared" si="5"/>
        <v>1959395</v>
      </c>
    </row>
    <row r="382" spans="1:31" ht="12.75" customHeight="1">
      <c r="A382" s="1" t="s">
        <v>301</v>
      </c>
      <c r="C382" s="1" t="s">
        <v>129</v>
      </c>
      <c r="E382" s="34">
        <v>994915</v>
      </c>
      <c r="F382" s="34"/>
      <c r="G382" s="34">
        <v>27193</v>
      </c>
      <c r="H382" s="34"/>
      <c r="I382" s="34">
        <v>0</v>
      </c>
      <c r="J382" s="34"/>
      <c r="K382" s="34">
        <v>2025</v>
      </c>
      <c r="L382" s="34"/>
      <c r="M382" s="34">
        <v>0</v>
      </c>
      <c r="N382" s="34"/>
      <c r="O382" s="34">
        <v>0</v>
      </c>
      <c r="P382" s="34"/>
      <c r="Q382" s="34">
        <v>488916</v>
      </c>
      <c r="R382" s="34"/>
      <c r="S382" s="34">
        <v>0</v>
      </c>
      <c r="T382" s="34"/>
      <c r="U382" s="34">
        <v>0</v>
      </c>
      <c r="V382" s="34"/>
      <c r="W382" s="34">
        <v>0</v>
      </c>
      <c r="X382" s="34"/>
      <c r="Y382" s="34">
        <v>0</v>
      </c>
      <c r="Z382" s="34"/>
      <c r="AA382" s="34">
        <v>0</v>
      </c>
      <c r="AB382" s="32"/>
      <c r="AC382" s="34">
        <v>0</v>
      </c>
      <c r="AD382" s="34"/>
      <c r="AE382" s="33">
        <f t="shared" si="5"/>
        <v>1513049</v>
      </c>
    </row>
    <row r="383" spans="1:31" ht="12.75" customHeight="1">
      <c r="A383" s="1" t="s">
        <v>302</v>
      </c>
      <c r="C383" s="1" t="s">
        <v>303</v>
      </c>
      <c r="E383" s="34">
        <v>373307</v>
      </c>
      <c r="F383" s="34"/>
      <c r="G383" s="34">
        <v>1760</v>
      </c>
      <c r="H383" s="34"/>
      <c r="I383" s="34">
        <v>68331</v>
      </c>
      <c r="J383" s="34"/>
      <c r="K383" s="34">
        <v>4316</v>
      </c>
      <c r="L383" s="34"/>
      <c r="M383" s="34">
        <v>0</v>
      </c>
      <c r="N383" s="34"/>
      <c r="O383" s="34">
        <v>53965</v>
      </c>
      <c r="P383" s="34"/>
      <c r="Q383" s="34">
        <v>155605</v>
      </c>
      <c r="R383" s="34"/>
      <c r="S383" s="34">
        <v>10915</v>
      </c>
      <c r="T383" s="34"/>
      <c r="U383" s="34">
        <v>0</v>
      </c>
      <c r="V383" s="34"/>
      <c r="W383" s="34">
        <v>0</v>
      </c>
      <c r="X383" s="34"/>
      <c r="Y383" s="34">
        <v>313727</v>
      </c>
      <c r="Z383" s="34"/>
      <c r="AA383" s="34">
        <v>46062</v>
      </c>
      <c r="AB383" s="32"/>
      <c r="AC383" s="34">
        <v>7541</v>
      </c>
      <c r="AD383" s="34"/>
      <c r="AE383" s="33">
        <f t="shared" si="5"/>
        <v>1035529</v>
      </c>
    </row>
    <row r="384" spans="1:31" ht="12.75" customHeight="1">
      <c r="A384" s="1" t="s">
        <v>652</v>
      </c>
      <c r="C384" s="1" t="s">
        <v>167</v>
      </c>
      <c r="E384" s="34">
        <v>5480</v>
      </c>
      <c r="F384" s="34"/>
      <c r="G384" s="34">
        <v>529</v>
      </c>
      <c r="H384" s="34"/>
      <c r="I384" s="34">
        <v>0</v>
      </c>
      <c r="J384" s="34"/>
      <c r="K384" s="34">
        <v>300</v>
      </c>
      <c r="L384" s="34"/>
      <c r="M384" s="34">
        <v>0</v>
      </c>
      <c r="N384" s="34"/>
      <c r="O384" s="34">
        <v>0</v>
      </c>
      <c r="P384" s="34"/>
      <c r="Q384" s="34">
        <v>16709</v>
      </c>
      <c r="R384" s="34"/>
      <c r="S384" s="34">
        <v>0</v>
      </c>
      <c r="T384" s="34"/>
      <c r="U384" s="34">
        <v>0</v>
      </c>
      <c r="V384" s="34"/>
      <c r="W384" s="34">
        <v>0</v>
      </c>
      <c r="X384" s="34"/>
      <c r="Y384" s="34">
        <v>0</v>
      </c>
      <c r="Z384" s="32"/>
      <c r="AA384" s="34">
        <v>0</v>
      </c>
      <c r="AB384" s="34"/>
      <c r="AC384" s="34">
        <v>0</v>
      </c>
      <c r="AD384" s="34"/>
      <c r="AE384" s="33">
        <f t="shared" si="5"/>
        <v>23018</v>
      </c>
    </row>
    <row r="385" spans="5:31" ht="12.75" customHeight="1"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2"/>
      <c r="AA385" s="34"/>
      <c r="AB385" s="34"/>
      <c r="AD385" s="34"/>
      <c r="AE385" s="34" t="s">
        <v>785</v>
      </c>
    </row>
    <row r="386" spans="1:31" s="36" customFormat="1" ht="12.75" customHeight="1">
      <c r="A386" s="36" t="s">
        <v>304</v>
      </c>
      <c r="C386" s="36" t="s">
        <v>190</v>
      </c>
      <c r="E386" s="39">
        <v>695573</v>
      </c>
      <c r="F386" s="39"/>
      <c r="G386" s="39">
        <v>45926</v>
      </c>
      <c r="H386" s="39"/>
      <c r="I386" s="39">
        <v>0</v>
      </c>
      <c r="J386" s="39"/>
      <c r="K386" s="39">
        <v>0</v>
      </c>
      <c r="L386" s="39"/>
      <c r="M386" s="39">
        <v>311271</v>
      </c>
      <c r="N386" s="39"/>
      <c r="O386" s="39">
        <v>134494</v>
      </c>
      <c r="P386" s="39"/>
      <c r="Q386" s="39">
        <v>213767</v>
      </c>
      <c r="R386" s="39"/>
      <c r="S386" s="39">
        <v>1850</v>
      </c>
      <c r="T386" s="39"/>
      <c r="U386" s="39">
        <v>50670</v>
      </c>
      <c r="V386" s="39"/>
      <c r="W386" s="39">
        <v>0</v>
      </c>
      <c r="X386" s="39"/>
      <c r="Y386" s="39">
        <v>164843</v>
      </c>
      <c r="Z386" s="39"/>
      <c r="AA386" s="39">
        <v>12660</v>
      </c>
      <c r="AB386" s="38"/>
      <c r="AC386" s="39">
        <v>0</v>
      </c>
      <c r="AD386" s="39"/>
      <c r="AE386" s="40">
        <f t="shared" si="5"/>
        <v>1631054</v>
      </c>
    </row>
    <row r="387" spans="1:31" ht="12.75" customHeight="1">
      <c r="A387" s="1" t="s">
        <v>305</v>
      </c>
      <c r="C387" s="1" t="s">
        <v>112</v>
      </c>
      <c r="E387" s="34">
        <v>909135</v>
      </c>
      <c r="F387" s="34"/>
      <c r="G387" s="34">
        <v>13976</v>
      </c>
      <c r="H387" s="34"/>
      <c r="I387" s="34">
        <v>0</v>
      </c>
      <c r="J387" s="34"/>
      <c r="K387" s="34">
        <v>79521</v>
      </c>
      <c r="L387" s="34"/>
      <c r="M387" s="34">
        <v>722105</v>
      </c>
      <c r="N387" s="34"/>
      <c r="O387" s="34">
        <v>117573</v>
      </c>
      <c r="P387" s="34"/>
      <c r="Q387" s="34">
        <v>1034773</v>
      </c>
      <c r="R387" s="34"/>
      <c r="S387" s="34">
        <v>0</v>
      </c>
      <c r="T387" s="34"/>
      <c r="U387" s="34">
        <v>0</v>
      </c>
      <c r="V387" s="34"/>
      <c r="W387" s="34">
        <v>0</v>
      </c>
      <c r="X387" s="34"/>
      <c r="Y387" s="34">
        <v>701878</v>
      </c>
      <c r="Z387" s="34"/>
      <c r="AA387" s="34">
        <v>700979</v>
      </c>
      <c r="AB387" s="32"/>
      <c r="AC387" s="34">
        <v>0</v>
      </c>
      <c r="AD387" s="34"/>
      <c r="AE387" s="33">
        <f t="shared" si="5"/>
        <v>4279940</v>
      </c>
    </row>
    <row r="388" spans="1:31" ht="12.75" customHeight="1">
      <c r="A388" s="1" t="s">
        <v>637</v>
      </c>
      <c r="C388" s="1" t="s">
        <v>268</v>
      </c>
      <c r="E388" s="34">
        <v>15775</v>
      </c>
      <c r="F388" s="34"/>
      <c r="G388" s="34">
        <v>651</v>
      </c>
      <c r="H388" s="34"/>
      <c r="I388" s="34">
        <v>0</v>
      </c>
      <c r="J388" s="34"/>
      <c r="K388" s="34">
        <v>2700</v>
      </c>
      <c r="L388" s="34"/>
      <c r="M388" s="34">
        <v>0</v>
      </c>
      <c r="N388" s="34"/>
      <c r="O388" s="34">
        <v>5497</v>
      </c>
      <c r="P388" s="34"/>
      <c r="Q388" s="34">
        <v>16887</v>
      </c>
      <c r="R388" s="34"/>
      <c r="S388" s="34">
        <v>0</v>
      </c>
      <c r="T388" s="34"/>
      <c r="U388" s="34">
        <v>0</v>
      </c>
      <c r="V388" s="34"/>
      <c r="W388" s="34">
        <v>0</v>
      </c>
      <c r="X388" s="34"/>
      <c r="Y388" s="34">
        <v>0</v>
      </c>
      <c r="Z388" s="32"/>
      <c r="AA388" s="34">
        <v>0</v>
      </c>
      <c r="AB388" s="34"/>
      <c r="AC388" s="34">
        <v>0</v>
      </c>
      <c r="AD388" s="34"/>
      <c r="AE388" s="33">
        <f t="shared" si="5"/>
        <v>41510</v>
      </c>
    </row>
    <row r="389" spans="1:31" ht="12.75" customHeight="1">
      <c r="A389" s="1" t="s">
        <v>469</v>
      </c>
      <c r="C389" s="1" t="s">
        <v>100</v>
      </c>
      <c r="E389" s="34">
        <v>11144</v>
      </c>
      <c r="F389" s="34"/>
      <c r="G389" s="34">
        <v>873</v>
      </c>
      <c r="H389" s="34"/>
      <c r="I389" s="34">
        <v>0</v>
      </c>
      <c r="J389" s="34"/>
      <c r="K389" s="34">
        <v>84</v>
      </c>
      <c r="L389" s="34"/>
      <c r="M389" s="34">
        <v>0</v>
      </c>
      <c r="N389" s="34"/>
      <c r="O389" s="34">
        <v>6677</v>
      </c>
      <c r="P389" s="34"/>
      <c r="Q389" s="34">
        <v>35245</v>
      </c>
      <c r="R389" s="34"/>
      <c r="S389" s="34">
        <v>0</v>
      </c>
      <c r="T389" s="34"/>
      <c r="U389" s="34">
        <v>0</v>
      </c>
      <c r="V389" s="34"/>
      <c r="W389" s="34">
        <v>0</v>
      </c>
      <c r="X389" s="34"/>
      <c r="Y389" s="34">
        <v>0</v>
      </c>
      <c r="Z389" s="32"/>
      <c r="AA389" s="34">
        <v>0</v>
      </c>
      <c r="AB389" s="34"/>
      <c r="AC389" s="34">
        <v>0</v>
      </c>
      <c r="AD389" s="34"/>
      <c r="AE389" s="33">
        <f t="shared" si="5"/>
        <v>54023</v>
      </c>
    </row>
    <row r="390" spans="1:31" ht="12.75" customHeight="1">
      <c r="A390" s="1" t="s">
        <v>309</v>
      </c>
      <c r="C390" s="1" t="s">
        <v>172</v>
      </c>
      <c r="E390" s="34">
        <v>158507</v>
      </c>
      <c r="F390" s="34"/>
      <c r="G390" s="34">
        <v>142</v>
      </c>
      <c r="H390" s="34"/>
      <c r="I390" s="34">
        <v>300</v>
      </c>
      <c r="J390" s="34"/>
      <c r="K390" s="34">
        <v>3731</v>
      </c>
      <c r="L390" s="34"/>
      <c r="M390" s="34">
        <v>95986</v>
      </c>
      <c r="N390" s="34"/>
      <c r="O390" s="34">
        <v>232</v>
      </c>
      <c r="P390" s="34"/>
      <c r="Q390" s="34">
        <v>193495</v>
      </c>
      <c r="R390" s="34"/>
      <c r="S390" s="34">
        <v>0</v>
      </c>
      <c r="T390" s="34"/>
      <c r="U390" s="34">
        <v>0</v>
      </c>
      <c r="V390" s="34"/>
      <c r="W390" s="34">
        <v>0</v>
      </c>
      <c r="X390" s="34"/>
      <c r="Y390" s="34">
        <v>26200</v>
      </c>
      <c r="Z390" s="32"/>
      <c r="AA390" s="34">
        <v>0</v>
      </c>
      <c r="AB390" s="34"/>
      <c r="AC390" s="34">
        <v>43909</v>
      </c>
      <c r="AD390" s="34"/>
      <c r="AE390" s="33">
        <f t="shared" si="5"/>
        <v>522502</v>
      </c>
    </row>
    <row r="391" spans="1:31" ht="12.75" customHeight="1">
      <c r="A391" s="1" t="s">
        <v>493</v>
      </c>
      <c r="C391" s="1" t="s">
        <v>102</v>
      </c>
      <c r="E391" s="34">
        <v>48093</v>
      </c>
      <c r="F391" s="34"/>
      <c r="G391" s="34">
        <v>9363</v>
      </c>
      <c r="H391" s="34"/>
      <c r="I391" s="34">
        <v>56080</v>
      </c>
      <c r="J391" s="34"/>
      <c r="K391" s="34">
        <v>416</v>
      </c>
      <c r="L391" s="34"/>
      <c r="M391" s="34">
        <v>24160</v>
      </c>
      <c r="N391" s="34"/>
      <c r="O391" s="34">
        <v>8317</v>
      </c>
      <c r="P391" s="34"/>
      <c r="Q391" s="34">
        <v>426541</v>
      </c>
      <c r="R391" s="34"/>
      <c r="S391" s="34">
        <v>0</v>
      </c>
      <c r="T391" s="34"/>
      <c r="U391" s="34">
        <v>0</v>
      </c>
      <c r="V391" s="34"/>
      <c r="W391" s="34">
        <v>0</v>
      </c>
      <c r="X391" s="34"/>
      <c r="Y391" s="34">
        <v>79245</v>
      </c>
      <c r="Z391" s="32"/>
      <c r="AA391" s="34">
        <v>0</v>
      </c>
      <c r="AB391" s="34"/>
      <c r="AC391" s="34">
        <v>0</v>
      </c>
      <c r="AD391" s="34"/>
      <c r="AE391" s="33">
        <f t="shared" si="5"/>
        <v>652215</v>
      </c>
    </row>
    <row r="392" spans="1:31" ht="12.75" customHeight="1">
      <c r="A392" s="1" t="s">
        <v>762</v>
      </c>
      <c r="C392" s="1" t="s">
        <v>84</v>
      </c>
      <c r="E392" s="34">
        <v>50132</v>
      </c>
      <c r="F392" s="34"/>
      <c r="G392" s="34">
        <v>4088</v>
      </c>
      <c r="H392" s="34"/>
      <c r="I392" s="34">
        <v>1328</v>
      </c>
      <c r="J392" s="34"/>
      <c r="K392" s="34">
        <v>0</v>
      </c>
      <c r="L392" s="34"/>
      <c r="M392" s="34">
        <v>0</v>
      </c>
      <c r="N392" s="34"/>
      <c r="O392" s="34">
        <v>239</v>
      </c>
      <c r="P392" s="34"/>
      <c r="Q392" s="34">
        <v>43237</v>
      </c>
      <c r="R392" s="34"/>
      <c r="S392" s="34">
        <v>0</v>
      </c>
      <c r="T392" s="34"/>
      <c r="U392" s="34">
        <v>0</v>
      </c>
      <c r="V392" s="34"/>
      <c r="W392" s="34">
        <v>0</v>
      </c>
      <c r="X392" s="34"/>
      <c r="Y392" s="34">
        <v>18000</v>
      </c>
      <c r="Z392" s="32"/>
      <c r="AA392" s="34">
        <v>0</v>
      </c>
      <c r="AB392" s="34"/>
      <c r="AC392" s="34">
        <v>0</v>
      </c>
      <c r="AD392" s="34"/>
      <c r="AE392" s="33">
        <f t="shared" si="5"/>
        <v>117024</v>
      </c>
    </row>
    <row r="393" spans="1:31" ht="12.75" customHeight="1">
      <c r="A393" s="1" t="s">
        <v>628</v>
      </c>
      <c r="C393" s="1" t="s">
        <v>293</v>
      </c>
      <c r="E393" s="34">
        <v>568000</v>
      </c>
      <c r="F393" s="34"/>
      <c r="G393" s="34">
        <v>0</v>
      </c>
      <c r="H393" s="34"/>
      <c r="I393" s="34">
        <v>70458</v>
      </c>
      <c r="J393" s="34"/>
      <c r="K393" s="34">
        <v>5299</v>
      </c>
      <c r="L393" s="34"/>
      <c r="M393" s="34">
        <v>0</v>
      </c>
      <c r="N393" s="34"/>
      <c r="O393" s="34">
        <v>0</v>
      </c>
      <c r="P393" s="34"/>
      <c r="Q393" s="34">
        <v>240460</v>
      </c>
      <c r="R393" s="34"/>
      <c r="S393" s="34">
        <v>0</v>
      </c>
      <c r="T393" s="34"/>
      <c r="U393" s="34">
        <v>0</v>
      </c>
      <c r="V393" s="34"/>
      <c r="W393" s="34">
        <v>0</v>
      </c>
      <c r="X393" s="34"/>
      <c r="Y393" s="34">
        <v>28000</v>
      </c>
      <c r="Z393" s="32"/>
      <c r="AA393" s="34">
        <v>0</v>
      </c>
      <c r="AB393" s="34"/>
      <c r="AC393" s="34">
        <v>0</v>
      </c>
      <c r="AD393" s="34"/>
      <c r="AE393" s="33">
        <f t="shared" si="5"/>
        <v>912217</v>
      </c>
    </row>
    <row r="394" spans="1:31" ht="12.75" customHeight="1">
      <c r="A394" s="1" t="s">
        <v>576</v>
      </c>
      <c r="C394" s="1" t="s">
        <v>65</v>
      </c>
      <c r="E394" s="34">
        <v>240</v>
      </c>
      <c r="F394" s="34"/>
      <c r="G394" s="34">
        <v>3390</v>
      </c>
      <c r="H394" s="34"/>
      <c r="I394" s="34">
        <v>409</v>
      </c>
      <c r="J394" s="34"/>
      <c r="K394" s="34">
        <v>0</v>
      </c>
      <c r="L394" s="34"/>
      <c r="M394" s="34">
        <v>7985</v>
      </c>
      <c r="N394" s="34"/>
      <c r="O394" s="34">
        <v>0</v>
      </c>
      <c r="P394" s="34"/>
      <c r="Q394" s="34">
        <v>31566</v>
      </c>
      <c r="R394" s="34"/>
      <c r="S394" s="34">
        <v>0</v>
      </c>
      <c r="T394" s="34"/>
      <c r="U394" s="34">
        <v>0</v>
      </c>
      <c r="V394" s="34"/>
      <c r="W394" s="34">
        <v>0</v>
      </c>
      <c r="X394" s="34"/>
      <c r="Y394" s="34">
        <v>0</v>
      </c>
      <c r="Z394" s="32"/>
      <c r="AA394" s="34">
        <v>0</v>
      </c>
      <c r="AB394" s="34"/>
      <c r="AC394" s="34">
        <v>1730</v>
      </c>
      <c r="AD394" s="34"/>
      <c r="AE394" s="33">
        <f t="shared" si="5"/>
        <v>45320</v>
      </c>
    </row>
    <row r="395" spans="1:31" ht="12.75" customHeight="1">
      <c r="A395" s="1" t="s">
        <v>306</v>
      </c>
      <c r="C395" s="1" t="s">
        <v>114</v>
      </c>
      <c r="E395" s="34">
        <v>0</v>
      </c>
      <c r="F395" s="34"/>
      <c r="G395" s="34">
        <v>2090</v>
      </c>
      <c r="H395" s="34"/>
      <c r="I395" s="34">
        <v>0</v>
      </c>
      <c r="J395" s="34"/>
      <c r="K395" s="34">
        <v>4000</v>
      </c>
      <c r="L395" s="34"/>
      <c r="M395" s="34">
        <v>1177</v>
      </c>
      <c r="N395" s="34"/>
      <c r="O395" s="34">
        <v>0</v>
      </c>
      <c r="P395" s="34"/>
      <c r="Q395" s="34">
        <v>56017</v>
      </c>
      <c r="R395" s="34"/>
      <c r="S395" s="34">
        <v>0</v>
      </c>
      <c r="T395" s="34"/>
      <c r="U395" s="34">
        <v>0</v>
      </c>
      <c r="V395" s="34"/>
      <c r="W395" s="34">
        <v>0</v>
      </c>
      <c r="X395" s="34"/>
      <c r="Y395" s="34">
        <v>10000</v>
      </c>
      <c r="Z395" s="34"/>
      <c r="AA395" s="34">
        <v>0</v>
      </c>
      <c r="AB395" s="32"/>
      <c r="AC395" s="34">
        <v>0</v>
      </c>
      <c r="AD395" s="34"/>
      <c r="AE395" s="33">
        <f t="shared" si="5"/>
        <v>73284</v>
      </c>
    </row>
    <row r="396" spans="1:31" ht="12.75" customHeight="1">
      <c r="A396" s="1" t="s">
        <v>307</v>
      </c>
      <c r="C396" s="1" t="s">
        <v>114</v>
      </c>
      <c r="E396" s="34">
        <v>9551</v>
      </c>
      <c r="F396" s="34"/>
      <c r="G396" s="34">
        <v>467</v>
      </c>
      <c r="H396" s="34"/>
      <c r="I396" s="34">
        <v>10935</v>
      </c>
      <c r="J396" s="34"/>
      <c r="K396" s="34">
        <v>0</v>
      </c>
      <c r="L396" s="34"/>
      <c r="M396" s="34">
        <v>8916</v>
      </c>
      <c r="N396" s="34"/>
      <c r="O396" s="34">
        <v>1382</v>
      </c>
      <c r="P396" s="34"/>
      <c r="Q396" s="34">
        <v>26368</v>
      </c>
      <c r="R396" s="34"/>
      <c r="S396" s="34">
        <v>4383</v>
      </c>
      <c r="T396" s="34"/>
      <c r="U396" s="34">
        <v>0</v>
      </c>
      <c r="V396" s="34"/>
      <c r="W396" s="34">
        <v>0</v>
      </c>
      <c r="X396" s="34"/>
      <c r="Y396" s="34">
        <v>0</v>
      </c>
      <c r="Z396" s="34"/>
      <c r="AA396" s="34">
        <v>0</v>
      </c>
      <c r="AB396" s="32"/>
      <c r="AC396" s="34">
        <v>0</v>
      </c>
      <c r="AD396" s="34"/>
      <c r="AE396" s="33">
        <f t="shared" si="5"/>
        <v>62002</v>
      </c>
    </row>
    <row r="397" spans="1:31" ht="12.75" customHeight="1">
      <c r="A397" s="1" t="s">
        <v>308</v>
      </c>
      <c r="C397" s="1" t="s">
        <v>309</v>
      </c>
      <c r="E397" s="34">
        <v>465945</v>
      </c>
      <c r="F397" s="34"/>
      <c r="G397" s="34">
        <v>2324</v>
      </c>
      <c r="H397" s="34"/>
      <c r="I397" s="34">
        <v>0</v>
      </c>
      <c r="J397" s="34"/>
      <c r="K397" s="34">
        <v>0</v>
      </c>
      <c r="L397" s="34"/>
      <c r="M397" s="34">
        <v>1368</v>
      </c>
      <c r="N397" s="34"/>
      <c r="O397" s="34">
        <v>1318</v>
      </c>
      <c r="P397" s="34"/>
      <c r="Q397" s="34">
        <v>403259</v>
      </c>
      <c r="R397" s="34"/>
      <c r="S397" s="34">
        <v>0</v>
      </c>
      <c r="T397" s="34"/>
      <c r="U397" s="34">
        <v>0</v>
      </c>
      <c r="V397" s="34"/>
      <c r="W397" s="34">
        <v>0</v>
      </c>
      <c r="X397" s="34"/>
      <c r="Y397" s="34">
        <v>255000</v>
      </c>
      <c r="Z397" s="34"/>
      <c r="AA397" s="34">
        <v>0</v>
      </c>
      <c r="AB397" s="32"/>
      <c r="AC397" s="34">
        <v>0</v>
      </c>
      <c r="AD397" s="34"/>
      <c r="AE397" s="33">
        <f t="shared" si="5"/>
        <v>1129214</v>
      </c>
    </row>
    <row r="398" spans="1:31" ht="12.75" customHeight="1">
      <c r="A398" s="1" t="s">
        <v>476</v>
      </c>
      <c r="C398" s="1" t="s">
        <v>246</v>
      </c>
      <c r="E398" s="34">
        <v>429732</v>
      </c>
      <c r="F398" s="34"/>
      <c r="G398" s="34">
        <v>0</v>
      </c>
      <c r="H398" s="34"/>
      <c r="I398" s="34">
        <v>41755</v>
      </c>
      <c r="J398" s="34"/>
      <c r="K398" s="34">
        <v>29979</v>
      </c>
      <c r="L398" s="34"/>
      <c r="M398" s="34">
        <v>0</v>
      </c>
      <c r="N398" s="34"/>
      <c r="O398" s="34">
        <v>133217</v>
      </c>
      <c r="P398" s="34"/>
      <c r="Q398" s="34">
        <v>194294</v>
      </c>
      <c r="R398" s="34"/>
      <c r="S398" s="34">
        <v>278415</v>
      </c>
      <c r="T398" s="34"/>
      <c r="U398" s="34">
        <v>6004</v>
      </c>
      <c r="V398" s="34"/>
      <c r="W398" s="34">
        <v>0</v>
      </c>
      <c r="X398" s="34"/>
      <c r="Y398" s="34">
        <v>4084</v>
      </c>
      <c r="Z398" s="32"/>
      <c r="AA398" s="34">
        <v>0</v>
      </c>
      <c r="AB398" s="34"/>
      <c r="AC398" s="34">
        <v>4345</v>
      </c>
      <c r="AD398" s="34"/>
      <c r="AE398" s="33">
        <f aca="true" t="shared" si="6" ref="AE398:AE463">SUM(E398:AC398)</f>
        <v>1121825</v>
      </c>
    </row>
    <row r="399" spans="1:31" ht="12.75" customHeight="1">
      <c r="A399" s="1" t="s">
        <v>310</v>
      </c>
      <c r="C399" s="1" t="s">
        <v>69</v>
      </c>
      <c r="E399" s="34">
        <v>23967</v>
      </c>
      <c r="F399" s="34"/>
      <c r="G399" s="34">
        <v>0</v>
      </c>
      <c r="H399" s="34"/>
      <c r="I399" s="34">
        <v>0</v>
      </c>
      <c r="J399" s="34"/>
      <c r="K399" s="34">
        <v>0</v>
      </c>
      <c r="L399" s="34"/>
      <c r="M399" s="34">
        <v>13350</v>
      </c>
      <c r="N399" s="34"/>
      <c r="O399" s="34">
        <v>0</v>
      </c>
      <c r="P399" s="34"/>
      <c r="Q399" s="34">
        <v>56750</v>
      </c>
      <c r="R399" s="34"/>
      <c r="S399" s="34">
        <v>0</v>
      </c>
      <c r="T399" s="34"/>
      <c r="U399" s="34">
        <v>0</v>
      </c>
      <c r="V399" s="34"/>
      <c r="W399" s="34">
        <v>0</v>
      </c>
      <c r="X399" s="34"/>
      <c r="Y399" s="34">
        <v>0</v>
      </c>
      <c r="Z399" s="34"/>
      <c r="AA399" s="34">
        <v>0</v>
      </c>
      <c r="AB399" s="32"/>
      <c r="AC399" s="34">
        <v>246</v>
      </c>
      <c r="AD399" s="34"/>
      <c r="AE399" s="33">
        <f t="shared" si="6"/>
        <v>94313</v>
      </c>
    </row>
    <row r="400" spans="1:31" ht="12.75" customHeight="1">
      <c r="A400" s="1" t="s">
        <v>592</v>
      </c>
      <c r="C400" s="1" t="s">
        <v>591</v>
      </c>
      <c r="E400" s="34">
        <v>26384</v>
      </c>
      <c r="F400" s="34"/>
      <c r="G400" s="34">
        <v>0</v>
      </c>
      <c r="H400" s="34"/>
      <c r="I400" s="34">
        <v>0</v>
      </c>
      <c r="J400" s="34"/>
      <c r="K400" s="34">
        <v>0</v>
      </c>
      <c r="L400" s="34"/>
      <c r="M400" s="34">
        <v>0</v>
      </c>
      <c r="N400" s="34"/>
      <c r="O400" s="34">
        <v>0</v>
      </c>
      <c r="P400" s="34"/>
      <c r="Q400" s="34">
        <v>34010</v>
      </c>
      <c r="R400" s="34"/>
      <c r="S400" s="34">
        <v>0</v>
      </c>
      <c r="T400" s="34"/>
      <c r="U400" s="34">
        <v>0</v>
      </c>
      <c r="V400" s="34"/>
      <c r="W400" s="34">
        <v>0</v>
      </c>
      <c r="X400" s="34"/>
      <c r="Y400" s="34">
        <v>1100</v>
      </c>
      <c r="Z400" s="32"/>
      <c r="AA400" s="34">
        <v>0</v>
      </c>
      <c r="AB400" s="34"/>
      <c r="AC400" s="34">
        <v>0</v>
      </c>
      <c r="AD400" s="34"/>
      <c r="AE400" s="33">
        <f t="shared" si="6"/>
        <v>61494</v>
      </c>
    </row>
    <row r="401" spans="1:31" ht="12.75" customHeight="1">
      <c r="A401" s="1" t="s">
        <v>311</v>
      </c>
      <c r="C401" s="1" t="s">
        <v>312</v>
      </c>
      <c r="E401" s="34">
        <v>2229</v>
      </c>
      <c r="F401" s="34"/>
      <c r="G401" s="34">
        <v>431</v>
      </c>
      <c r="H401" s="34"/>
      <c r="I401" s="34">
        <v>0</v>
      </c>
      <c r="J401" s="34"/>
      <c r="K401" s="34">
        <v>0</v>
      </c>
      <c r="L401" s="34"/>
      <c r="M401" s="34">
        <v>0</v>
      </c>
      <c r="N401" s="34"/>
      <c r="O401" s="34">
        <v>0</v>
      </c>
      <c r="P401" s="34"/>
      <c r="Q401" s="34">
        <v>8026</v>
      </c>
      <c r="R401" s="34"/>
      <c r="S401" s="34">
        <v>0</v>
      </c>
      <c r="T401" s="34"/>
      <c r="U401" s="34">
        <v>0</v>
      </c>
      <c r="V401" s="34"/>
      <c r="W401" s="34">
        <v>0</v>
      </c>
      <c r="X401" s="34"/>
      <c r="Y401" s="34">
        <v>0</v>
      </c>
      <c r="Z401" s="34"/>
      <c r="AA401" s="34">
        <v>0</v>
      </c>
      <c r="AB401" s="32"/>
      <c r="AC401" s="34">
        <v>0</v>
      </c>
      <c r="AD401" s="34"/>
      <c r="AE401" s="33">
        <f t="shared" si="6"/>
        <v>10686</v>
      </c>
    </row>
    <row r="402" spans="1:31" ht="12.75" customHeight="1">
      <c r="A402" s="1" t="s">
        <v>313</v>
      </c>
      <c r="C402" s="1" t="s">
        <v>106</v>
      </c>
      <c r="E402" s="34">
        <v>391132</v>
      </c>
      <c r="F402" s="34"/>
      <c r="G402" s="34">
        <v>0</v>
      </c>
      <c r="H402" s="34"/>
      <c r="I402" s="34">
        <v>17885</v>
      </c>
      <c r="J402" s="34"/>
      <c r="K402" s="34">
        <v>4152</v>
      </c>
      <c r="L402" s="34"/>
      <c r="M402" s="34">
        <v>0</v>
      </c>
      <c r="N402" s="34"/>
      <c r="O402" s="34">
        <v>0</v>
      </c>
      <c r="P402" s="34"/>
      <c r="Q402" s="34">
        <v>166429</v>
      </c>
      <c r="R402" s="34"/>
      <c r="S402" s="34">
        <v>83747</v>
      </c>
      <c r="T402" s="34"/>
      <c r="U402" s="34">
        <v>0</v>
      </c>
      <c r="V402" s="34"/>
      <c r="W402" s="34">
        <v>0</v>
      </c>
      <c r="X402" s="34"/>
      <c r="Y402" s="34">
        <v>75000</v>
      </c>
      <c r="Z402" s="34"/>
      <c r="AA402" s="34">
        <v>0</v>
      </c>
      <c r="AB402" s="32"/>
      <c r="AC402" s="34">
        <v>0</v>
      </c>
      <c r="AD402" s="34"/>
      <c r="AE402" s="33">
        <f t="shared" si="6"/>
        <v>738345</v>
      </c>
    </row>
    <row r="403" spans="1:31" ht="12.75" customHeight="1">
      <c r="A403" s="1" t="s">
        <v>314</v>
      </c>
      <c r="C403" s="1" t="s">
        <v>170</v>
      </c>
      <c r="E403" s="34">
        <v>500</v>
      </c>
      <c r="F403" s="34"/>
      <c r="G403" s="34">
        <v>0</v>
      </c>
      <c r="H403" s="34"/>
      <c r="I403" s="34">
        <v>0</v>
      </c>
      <c r="J403" s="34"/>
      <c r="K403" s="34">
        <v>2149</v>
      </c>
      <c r="L403" s="34"/>
      <c r="M403" s="34">
        <v>7891</v>
      </c>
      <c r="N403" s="34"/>
      <c r="O403" s="34">
        <v>0</v>
      </c>
      <c r="P403" s="34"/>
      <c r="Q403" s="34">
        <v>8244</v>
      </c>
      <c r="R403" s="34"/>
      <c r="S403" s="34">
        <v>0</v>
      </c>
      <c r="T403" s="34"/>
      <c r="U403" s="34">
        <v>0</v>
      </c>
      <c r="V403" s="34"/>
      <c r="W403" s="34">
        <v>0</v>
      </c>
      <c r="X403" s="34"/>
      <c r="Y403" s="34">
        <v>0</v>
      </c>
      <c r="Z403" s="34"/>
      <c r="AA403" s="34">
        <v>0</v>
      </c>
      <c r="AB403" s="32"/>
      <c r="AC403" s="34">
        <v>0</v>
      </c>
      <c r="AD403" s="34"/>
      <c r="AE403" s="33">
        <f t="shared" si="6"/>
        <v>18784</v>
      </c>
    </row>
    <row r="404" spans="1:31" ht="12.75" customHeight="1">
      <c r="A404" s="1" t="s">
        <v>315</v>
      </c>
      <c r="C404" s="1" t="s">
        <v>151</v>
      </c>
      <c r="E404" s="34">
        <v>6190</v>
      </c>
      <c r="F404" s="34"/>
      <c r="G404" s="34">
        <v>2075</v>
      </c>
      <c r="H404" s="34"/>
      <c r="I404" s="34">
        <v>1816</v>
      </c>
      <c r="J404" s="34"/>
      <c r="K404" s="34">
        <v>299</v>
      </c>
      <c r="L404" s="34"/>
      <c r="M404" s="34">
        <v>290</v>
      </c>
      <c r="N404" s="34"/>
      <c r="O404" s="34">
        <v>0</v>
      </c>
      <c r="P404" s="34"/>
      <c r="Q404" s="34">
        <v>33908</v>
      </c>
      <c r="R404" s="34"/>
      <c r="S404" s="34">
        <v>0</v>
      </c>
      <c r="T404" s="34"/>
      <c r="U404" s="34">
        <v>0</v>
      </c>
      <c r="V404" s="34"/>
      <c r="W404" s="34">
        <v>0</v>
      </c>
      <c r="X404" s="34"/>
      <c r="Y404" s="34">
        <v>0</v>
      </c>
      <c r="Z404" s="34"/>
      <c r="AA404" s="34">
        <v>0</v>
      </c>
      <c r="AB404" s="32"/>
      <c r="AC404" s="34">
        <v>0</v>
      </c>
      <c r="AD404" s="34"/>
      <c r="AE404" s="33">
        <f t="shared" si="6"/>
        <v>44578</v>
      </c>
    </row>
    <row r="405" spans="1:31" ht="12.75" customHeight="1">
      <c r="A405" s="1" t="s">
        <v>494</v>
      </c>
      <c r="C405" s="1" t="s">
        <v>102</v>
      </c>
      <c r="E405" s="34">
        <v>1932</v>
      </c>
      <c r="F405" s="34"/>
      <c r="G405" s="34">
        <v>0</v>
      </c>
      <c r="H405" s="34"/>
      <c r="I405" s="34">
        <v>0</v>
      </c>
      <c r="J405" s="34"/>
      <c r="K405" s="34">
        <v>0</v>
      </c>
      <c r="L405" s="34"/>
      <c r="M405" s="34">
        <v>5741</v>
      </c>
      <c r="N405" s="34"/>
      <c r="O405" s="34">
        <v>0</v>
      </c>
      <c r="P405" s="34"/>
      <c r="Q405" s="34">
        <v>33520</v>
      </c>
      <c r="R405" s="34"/>
      <c r="S405" s="34">
        <v>0</v>
      </c>
      <c r="T405" s="34"/>
      <c r="U405" s="34">
        <v>0</v>
      </c>
      <c r="V405" s="34"/>
      <c r="W405" s="34">
        <v>0</v>
      </c>
      <c r="X405" s="34"/>
      <c r="Y405" s="34">
        <v>0</v>
      </c>
      <c r="Z405" s="32"/>
      <c r="AA405" s="34">
        <v>400</v>
      </c>
      <c r="AB405" s="34"/>
      <c r="AC405" s="34">
        <v>2500</v>
      </c>
      <c r="AD405" s="34"/>
      <c r="AE405" s="33">
        <f t="shared" si="6"/>
        <v>44093</v>
      </c>
    </row>
    <row r="406" spans="1:31" ht="12.75" customHeight="1">
      <c r="A406" s="1" t="s">
        <v>316</v>
      </c>
      <c r="C406" s="1" t="s">
        <v>149</v>
      </c>
      <c r="E406" s="34">
        <v>1730596</v>
      </c>
      <c r="F406" s="34"/>
      <c r="G406" s="34">
        <v>71340</v>
      </c>
      <c r="H406" s="34"/>
      <c r="I406" s="34">
        <v>0</v>
      </c>
      <c r="J406" s="34"/>
      <c r="K406" s="34">
        <v>423634</v>
      </c>
      <c r="L406" s="34"/>
      <c r="M406" s="34">
        <v>0</v>
      </c>
      <c r="N406" s="34"/>
      <c r="O406" s="34">
        <v>704711</v>
      </c>
      <c r="P406" s="34"/>
      <c r="Q406" s="34">
        <v>1947445</v>
      </c>
      <c r="R406" s="34"/>
      <c r="S406" s="34">
        <v>204678</v>
      </c>
      <c r="T406" s="34"/>
      <c r="U406" s="34">
        <v>441316</v>
      </c>
      <c r="V406" s="34"/>
      <c r="W406" s="34">
        <v>611909</v>
      </c>
      <c r="X406" s="34"/>
      <c r="Y406" s="34">
        <v>476000</v>
      </c>
      <c r="Z406" s="34"/>
      <c r="AA406" s="34">
        <v>0</v>
      </c>
      <c r="AB406" s="32"/>
      <c r="AC406" s="34">
        <v>0</v>
      </c>
      <c r="AD406" s="34"/>
      <c r="AE406" s="33">
        <f t="shared" si="6"/>
        <v>6611629</v>
      </c>
    </row>
    <row r="407" spans="1:31" ht="12.75" customHeight="1">
      <c r="A407" s="1" t="s">
        <v>582</v>
      </c>
      <c r="C407" s="1" t="s">
        <v>133</v>
      </c>
      <c r="E407" s="34">
        <v>8125</v>
      </c>
      <c r="F407" s="34"/>
      <c r="G407" s="34">
        <v>291</v>
      </c>
      <c r="H407" s="34"/>
      <c r="I407" s="34">
        <v>0</v>
      </c>
      <c r="J407" s="34"/>
      <c r="K407" s="34">
        <v>9</v>
      </c>
      <c r="L407" s="34"/>
      <c r="M407" s="34">
        <v>0</v>
      </c>
      <c r="N407" s="34"/>
      <c r="O407" s="34">
        <v>0</v>
      </c>
      <c r="P407" s="34"/>
      <c r="Q407" s="34">
        <v>20865</v>
      </c>
      <c r="R407" s="34"/>
      <c r="S407" s="34">
        <v>2637</v>
      </c>
      <c r="T407" s="34"/>
      <c r="U407" s="34">
        <v>7931</v>
      </c>
      <c r="V407" s="34"/>
      <c r="W407" s="34">
        <v>2387</v>
      </c>
      <c r="X407" s="34"/>
      <c r="Y407" s="34">
        <v>0</v>
      </c>
      <c r="Z407" s="32"/>
      <c r="AA407" s="34">
        <v>0</v>
      </c>
      <c r="AB407" s="34"/>
      <c r="AC407" s="34">
        <v>189</v>
      </c>
      <c r="AD407" s="34"/>
      <c r="AE407" s="33">
        <f t="shared" si="6"/>
        <v>42434</v>
      </c>
    </row>
    <row r="408" spans="1:31" ht="12.75" customHeight="1">
      <c r="A408" s="1" t="s">
        <v>587</v>
      </c>
      <c r="C408" s="1" t="s">
        <v>239</v>
      </c>
      <c r="E408" s="34">
        <v>200</v>
      </c>
      <c r="F408" s="34"/>
      <c r="G408" s="34">
        <v>0</v>
      </c>
      <c r="H408" s="34"/>
      <c r="I408" s="34">
        <v>1004</v>
      </c>
      <c r="J408" s="34"/>
      <c r="K408" s="34">
        <v>0</v>
      </c>
      <c r="L408" s="34"/>
      <c r="M408" s="34">
        <v>2604</v>
      </c>
      <c r="N408" s="34"/>
      <c r="O408" s="34">
        <v>0</v>
      </c>
      <c r="P408" s="34"/>
      <c r="Q408" s="34">
        <v>8155</v>
      </c>
      <c r="R408" s="34"/>
      <c r="S408" s="34">
        <v>0</v>
      </c>
      <c r="T408" s="34"/>
      <c r="U408" s="34">
        <v>0</v>
      </c>
      <c r="V408" s="34"/>
      <c r="W408" s="34">
        <v>0</v>
      </c>
      <c r="X408" s="34"/>
      <c r="Y408" s="34">
        <v>0</v>
      </c>
      <c r="Z408" s="32"/>
      <c r="AA408" s="34">
        <v>0</v>
      </c>
      <c r="AB408" s="34"/>
      <c r="AC408" s="34">
        <v>0</v>
      </c>
      <c r="AD408" s="34"/>
      <c r="AE408" s="33">
        <f t="shared" si="6"/>
        <v>11963</v>
      </c>
    </row>
    <row r="409" spans="1:31" ht="12.75" customHeight="1">
      <c r="A409" s="1" t="s">
        <v>638</v>
      </c>
      <c r="C409" s="1" t="s">
        <v>268</v>
      </c>
      <c r="E409" s="34">
        <v>2724</v>
      </c>
      <c r="F409" s="34"/>
      <c r="G409" s="34">
        <v>2394</v>
      </c>
      <c r="H409" s="34"/>
      <c r="I409" s="34">
        <v>735</v>
      </c>
      <c r="J409" s="34"/>
      <c r="K409" s="34">
        <v>0</v>
      </c>
      <c r="L409" s="34"/>
      <c r="M409" s="34">
        <v>0</v>
      </c>
      <c r="N409" s="34"/>
      <c r="O409" s="34">
        <v>0</v>
      </c>
      <c r="P409" s="34"/>
      <c r="Q409" s="34">
        <v>23086</v>
      </c>
      <c r="R409" s="34"/>
      <c r="S409" s="34">
        <v>0</v>
      </c>
      <c r="T409" s="34"/>
      <c r="U409" s="34">
        <v>0</v>
      </c>
      <c r="V409" s="34"/>
      <c r="W409" s="34">
        <v>0</v>
      </c>
      <c r="X409" s="34"/>
      <c r="Y409" s="34">
        <v>0</v>
      </c>
      <c r="Z409" s="32"/>
      <c r="AA409" s="34">
        <v>0</v>
      </c>
      <c r="AB409" s="34"/>
      <c r="AC409" s="34">
        <v>0</v>
      </c>
      <c r="AD409" s="34"/>
      <c r="AE409" s="33">
        <f t="shared" si="6"/>
        <v>28939</v>
      </c>
    </row>
    <row r="410" spans="1:31" ht="12.75" customHeight="1">
      <c r="A410" s="1" t="s">
        <v>317</v>
      </c>
      <c r="C410" s="1" t="s">
        <v>318</v>
      </c>
      <c r="E410" s="34">
        <v>382512</v>
      </c>
      <c r="F410" s="34"/>
      <c r="G410" s="34">
        <v>25800</v>
      </c>
      <c r="H410" s="34"/>
      <c r="I410" s="34">
        <v>8761</v>
      </c>
      <c r="J410" s="34"/>
      <c r="K410" s="34">
        <v>0</v>
      </c>
      <c r="L410" s="34"/>
      <c r="M410" s="34">
        <v>107471</v>
      </c>
      <c r="N410" s="34"/>
      <c r="O410" s="34">
        <v>43949</v>
      </c>
      <c r="P410" s="34"/>
      <c r="Q410" s="34">
        <v>916271</v>
      </c>
      <c r="R410" s="34"/>
      <c r="S410" s="34">
        <v>0</v>
      </c>
      <c r="T410" s="34"/>
      <c r="U410" s="34">
        <v>0</v>
      </c>
      <c r="V410" s="34"/>
      <c r="W410" s="34">
        <v>0</v>
      </c>
      <c r="X410" s="34"/>
      <c r="Y410" s="34">
        <v>10000</v>
      </c>
      <c r="Z410" s="34"/>
      <c r="AA410" s="34">
        <v>0</v>
      </c>
      <c r="AB410" s="32"/>
      <c r="AC410" s="34">
        <v>0</v>
      </c>
      <c r="AD410" s="34"/>
      <c r="AE410" s="33">
        <f t="shared" si="6"/>
        <v>1494764</v>
      </c>
    </row>
    <row r="411" spans="1:31" ht="12.75" customHeight="1">
      <c r="A411" s="1" t="s">
        <v>319</v>
      </c>
      <c r="C411" s="1" t="s">
        <v>177</v>
      </c>
      <c r="E411" s="34">
        <v>755015</v>
      </c>
      <c r="F411" s="34"/>
      <c r="G411" s="34">
        <v>15321</v>
      </c>
      <c r="H411" s="34"/>
      <c r="I411" s="34">
        <v>17816</v>
      </c>
      <c r="J411" s="34"/>
      <c r="K411" s="34">
        <v>0</v>
      </c>
      <c r="L411" s="34"/>
      <c r="M411" s="34">
        <v>0</v>
      </c>
      <c r="N411" s="34"/>
      <c r="O411" s="34">
        <v>145764</v>
      </c>
      <c r="P411" s="34"/>
      <c r="Q411" s="34">
        <v>316797</v>
      </c>
      <c r="R411" s="34"/>
      <c r="S411" s="34">
        <v>0</v>
      </c>
      <c r="T411" s="34"/>
      <c r="U411" s="34">
        <v>0</v>
      </c>
      <c r="V411" s="34"/>
      <c r="W411" s="34">
        <v>0</v>
      </c>
      <c r="X411" s="34"/>
      <c r="Y411" s="34">
        <v>323453</v>
      </c>
      <c r="Z411" s="34"/>
      <c r="AA411" s="34">
        <v>0</v>
      </c>
      <c r="AB411" s="32"/>
      <c r="AC411" s="34">
        <v>0</v>
      </c>
      <c r="AD411" s="34"/>
      <c r="AE411" s="33">
        <f t="shared" si="6"/>
        <v>1574166</v>
      </c>
    </row>
    <row r="412" spans="1:31" ht="12.75" customHeight="1">
      <c r="A412" s="1" t="s">
        <v>320</v>
      </c>
      <c r="C412" s="1" t="s">
        <v>67</v>
      </c>
      <c r="E412" s="34">
        <v>194456</v>
      </c>
      <c r="F412" s="34"/>
      <c r="G412" s="34">
        <v>0</v>
      </c>
      <c r="H412" s="34"/>
      <c r="I412" s="34">
        <v>0</v>
      </c>
      <c r="J412" s="34"/>
      <c r="K412" s="34">
        <v>0</v>
      </c>
      <c r="L412" s="34"/>
      <c r="M412" s="34">
        <v>0</v>
      </c>
      <c r="N412" s="34"/>
      <c r="O412" s="34">
        <v>0</v>
      </c>
      <c r="P412" s="34"/>
      <c r="Q412" s="34">
        <v>270422</v>
      </c>
      <c r="R412" s="34"/>
      <c r="S412" s="34">
        <v>38930</v>
      </c>
      <c r="T412" s="34"/>
      <c r="U412" s="34">
        <v>27045</v>
      </c>
      <c r="V412" s="34"/>
      <c r="W412" s="34">
        <v>0</v>
      </c>
      <c r="X412" s="34"/>
      <c r="Y412" s="34">
        <v>174000</v>
      </c>
      <c r="Z412" s="34"/>
      <c r="AA412" s="34">
        <v>25000</v>
      </c>
      <c r="AB412" s="32"/>
      <c r="AC412" s="34">
        <v>3000</v>
      </c>
      <c r="AD412" s="34"/>
      <c r="AE412" s="33">
        <f t="shared" si="6"/>
        <v>732853</v>
      </c>
    </row>
    <row r="413" spans="1:31" ht="12.75" customHeight="1">
      <c r="A413" s="1" t="s">
        <v>321</v>
      </c>
      <c r="C413" s="1" t="s">
        <v>129</v>
      </c>
      <c r="E413" s="34">
        <v>1044</v>
      </c>
      <c r="F413" s="34"/>
      <c r="G413" s="34">
        <v>0</v>
      </c>
      <c r="H413" s="34"/>
      <c r="I413" s="34">
        <v>0</v>
      </c>
      <c r="J413" s="34"/>
      <c r="K413" s="34">
        <v>0</v>
      </c>
      <c r="L413" s="34"/>
      <c r="M413" s="34">
        <v>0</v>
      </c>
      <c r="N413" s="34"/>
      <c r="O413" s="34">
        <v>0</v>
      </c>
      <c r="P413" s="34"/>
      <c r="Q413" s="34">
        <v>10075</v>
      </c>
      <c r="R413" s="34"/>
      <c r="S413" s="34">
        <v>0</v>
      </c>
      <c r="T413" s="34"/>
      <c r="U413" s="34">
        <v>0</v>
      </c>
      <c r="V413" s="34"/>
      <c r="W413" s="34">
        <v>0</v>
      </c>
      <c r="X413" s="34"/>
      <c r="Y413" s="34">
        <v>0</v>
      </c>
      <c r="Z413" s="34"/>
      <c r="AA413" s="34">
        <v>1180</v>
      </c>
      <c r="AB413" s="32"/>
      <c r="AC413" s="34">
        <v>0</v>
      </c>
      <c r="AD413" s="34"/>
      <c r="AE413" s="33">
        <f t="shared" si="6"/>
        <v>12299</v>
      </c>
    </row>
    <row r="414" spans="1:31" ht="12.75" customHeight="1">
      <c r="A414" s="1" t="s">
        <v>686</v>
      </c>
      <c r="C414" s="1" t="s">
        <v>184</v>
      </c>
      <c r="E414" s="34">
        <v>39467</v>
      </c>
      <c r="F414" s="34"/>
      <c r="G414" s="34">
        <v>1488</v>
      </c>
      <c r="H414" s="34"/>
      <c r="I414" s="34">
        <v>0</v>
      </c>
      <c r="J414" s="34"/>
      <c r="K414" s="34">
        <v>100</v>
      </c>
      <c r="L414" s="34"/>
      <c r="M414" s="34">
        <v>0</v>
      </c>
      <c r="N414" s="34"/>
      <c r="O414" s="34">
        <v>0</v>
      </c>
      <c r="P414" s="34"/>
      <c r="Q414" s="34">
        <v>24686</v>
      </c>
      <c r="R414" s="34"/>
      <c r="S414" s="34">
        <v>0</v>
      </c>
      <c r="T414" s="34"/>
      <c r="U414" s="34">
        <v>0</v>
      </c>
      <c r="V414" s="34"/>
      <c r="W414" s="34">
        <v>0</v>
      </c>
      <c r="X414" s="34"/>
      <c r="Y414" s="34">
        <v>0</v>
      </c>
      <c r="Z414" s="32"/>
      <c r="AA414" s="34">
        <v>0</v>
      </c>
      <c r="AB414" s="34"/>
      <c r="AC414" s="34">
        <v>0</v>
      </c>
      <c r="AD414" s="34"/>
      <c r="AE414" s="33">
        <f t="shared" si="6"/>
        <v>65741</v>
      </c>
    </row>
    <row r="415" spans="1:31" ht="12.75" customHeight="1">
      <c r="A415" s="1" t="s">
        <v>462</v>
      </c>
      <c r="C415" s="1" t="s">
        <v>177</v>
      </c>
      <c r="E415" s="34">
        <v>123737</v>
      </c>
      <c r="F415" s="34"/>
      <c r="G415" s="34">
        <v>56</v>
      </c>
      <c r="H415" s="34"/>
      <c r="I415" s="34">
        <v>29697</v>
      </c>
      <c r="J415" s="34"/>
      <c r="K415" s="34">
        <v>0</v>
      </c>
      <c r="L415" s="34"/>
      <c r="M415" s="34">
        <v>23733</v>
      </c>
      <c r="N415" s="34"/>
      <c r="O415" s="34">
        <v>0</v>
      </c>
      <c r="P415" s="34"/>
      <c r="Q415" s="34">
        <v>241403</v>
      </c>
      <c r="R415" s="34"/>
      <c r="S415" s="34">
        <v>0</v>
      </c>
      <c r="T415" s="34"/>
      <c r="U415" s="34">
        <v>0</v>
      </c>
      <c r="V415" s="34"/>
      <c r="W415" s="34">
        <v>0</v>
      </c>
      <c r="X415" s="34"/>
      <c r="Y415" s="34">
        <v>38540</v>
      </c>
      <c r="Z415" s="32"/>
      <c r="AA415" s="34">
        <v>15000</v>
      </c>
      <c r="AB415" s="34"/>
      <c r="AC415" s="34">
        <v>0</v>
      </c>
      <c r="AD415" s="34"/>
      <c r="AE415" s="33">
        <f t="shared" si="6"/>
        <v>472166</v>
      </c>
    </row>
    <row r="416" spans="1:31" ht="12.75" customHeight="1">
      <c r="A416" s="1" t="s">
        <v>322</v>
      </c>
      <c r="C416" s="1" t="s">
        <v>217</v>
      </c>
      <c r="E416" s="34">
        <v>0</v>
      </c>
      <c r="F416" s="34"/>
      <c r="G416" s="34">
        <v>0</v>
      </c>
      <c r="H416" s="34"/>
      <c r="I416" s="34">
        <v>63319</v>
      </c>
      <c r="J416" s="34"/>
      <c r="K416" s="34">
        <v>36697</v>
      </c>
      <c r="L416" s="34"/>
      <c r="M416" s="34">
        <v>0</v>
      </c>
      <c r="N416" s="34"/>
      <c r="O416" s="34">
        <v>0</v>
      </c>
      <c r="P416" s="34"/>
      <c r="Q416" s="34">
        <v>147853</v>
      </c>
      <c r="R416" s="34"/>
      <c r="S416" s="34">
        <v>18670</v>
      </c>
      <c r="T416" s="34"/>
      <c r="U416" s="34">
        <v>187360</v>
      </c>
      <c r="V416" s="34"/>
      <c r="W416" s="34">
        <v>10171</v>
      </c>
      <c r="X416" s="34"/>
      <c r="Y416" s="34">
        <v>423123</v>
      </c>
      <c r="Z416" s="34"/>
      <c r="AA416" s="34">
        <v>0</v>
      </c>
      <c r="AB416" s="32"/>
      <c r="AC416" s="34">
        <v>75</v>
      </c>
      <c r="AD416" s="34"/>
      <c r="AE416" s="33">
        <f t="shared" si="6"/>
        <v>887268</v>
      </c>
    </row>
    <row r="417" spans="1:31" ht="12.75" customHeight="1">
      <c r="A417" s="1" t="s">
        <v>323</v>
      </c>
      <c r="C417" s="1" t="s">
        <v>303</v>
      </c>
      <c r="E417" s="34">
        <v>362340</v>
      </c>
      <c r="F417" s="34"/>
      <c r="G417" s="34">
        <v>3020</v>
      </c>
      <c r="H417" s="34"/>
      <c r="I417" s="34">
        <v>0</v>
      </c>
      <c r="J417" s="34"/>
      <c r="K417" s="34">
        <v>2650</v>
      </c>
      <c r="L417" s="34"/>
      <c r="M417" s="34">
        <v>0</v>
      </c>
      <c r="N417" s="34"/>
      <c r="O417" s="34">
        <v>0</v>
      </c>
      <c r="P417" s="34"/>
      <c r="Q417" s="34">
        <v>239561</v>
      </c>
      <c r="R417" s="34"/>
      <c r="S417" s="34">
        <v>0</v>
      </c>
      <c r="T417" s="34"/>
      <c r="U417" s="34">
        <v>0</v>
      </c>
      <c r="V417" s="34"/>
      <c r="W417" s="34">
        <v>0</v>
      </c>
      <c r="X417" s="34"/>
      <c r="Y417" s="34">
        <v>102543</v>
      </c>
      <c r="Z417" s="34"/>
      <c r="AA417" s="34">
        <v>0</v>
      </c>
      <c r="AB417" s="32"/>
      <c r="AC417" s="34">
        <v>0</v>
      </c>
      <c r="AD417" s="34"/>
      <c r="AE417" s="33">
        <f t="shared" si="6"/>
        <v>710114</v>
      </c>
    </row>
    <row r="418" spans="1:31" ht="12.75" customHeight="1">
      <c r="A418" s="1" t="s">
        <v>522</v>
      </c>
      <c r="C418" s="1" t="s">
        <v>78</v>
      </c>
      <c r="E418" s="34">
        <v>83519</v>
      </c>
      <c r="F418" s="34"/>
      <c r="G418" s="34">
        <v>3406</v>
      </c>
      <c r="H418" s="34"/>
      <c r="I418" s="34">
        <v>4716</v>
      </c>
      <c r="J418" s="34"/>
      <c r="K418" s="34">
        <v>31000</v>
      </c>
      <c r="L418" s="34"/>
      <c r="M418" s="34">
        <v>73663</v>
      </c>
      <c r="N418" s="34"/>
      <c r="O418" s="34">
        <v>10000</v>
      </c>
      <c r="P418" s="34"/>
      <c r="Q418" s="34">
        <v>26717</v>
      </c>
      <c r="R418" s="34"/>
      <c r="S418" s="34">
        <v>0</v>
      </c>
      <c r="T418" s="34"/>
      <c r="U418" s="34">
        <v>0</v>
      </c>
      <c r="V418" s="34"/>
      <c r="W418" s="34">
        <v>0</v>
      </c>
      <c r="X418" s="34"/>
      <c r="Y418" s="34">
        <v>0</v>
      </c>
      <c r="Z418" s="32"/>
      <c r="AA418" s="34">
        <v>0</v>
      </c>
      <c r="AB418" s="34"/>
      <c r="AC418" s="34">
        <v>0</v>
      </c>
      <c r="AD418" s="34"/>
      <c r="AE418" s="33">
        <f t="shared" si="6"/>
        <v>233021</v>
      </c>
    </row>
    <row r="419" spans="1:31" ht="12.75" customHeight="1">
      <c r="A419" s="1" t="s">
        <v>633</v>
      </c>
      <c r="C419" s="1" t="s">
        <v>378</v>
      </c>
      <c r="E419" s="34">
        <v>68010</v>
      </c>
      <c r="F419" s="34"/>
      <c r="G419" s="34">
        <v>5946</v>
      </c>
      <c r="H419" s="34"/>
      <c r="I419" s="34">
        <v>52606</v>
      </c>
      <c r="J419" s="34"/>
      <c r="K419" s="34">
        <v>3175</v>
      </c>
      <c r="L419" s="34"/>
      <c r="M419" s="34">
        <v>0</v>
      </c>
      <c r="N419" s="34"/>
      <c r="O419" s="34">
        <v>0</v>
      </c>
      <c r="P419" s="34"/>
      <c r="Q419" s="34">
        <v>139331</v>
      </c>
      <c r="R419" s="34"/>
      <c r="S419" s="34">
        <v>0</v>
      </c>
      <c r="T419" s="34"/>
      <c r="U419" s="34">
        <v>0</v>
      </c>
      <c r="V419" s="34"/>
      <c r="W419" s="34">
        <v>0</v>
      </c>
      <c r="X419" s="34"/>
      <c r="Y419" s="34">
        <v>25000</v>
      </c>
      <c r="Z419" s="32"/>
      <c r="AA419" s="34">
        <v>35000</v>
      </c>
      <c r="AB419" s="34"/>
      <c r="AC419" s="34">
        <v>0</v>
      </c>
      <c r="AD419" s="34"/>
      <c r="AE419" s="33">
        <f t="shared" si="6"/>
        <v>329068</v>
      </c>
    </row>
    <row r="420" spans="1:31" ht="12.75" customHeight="1">
      <c r="A420" s="1" t="s">
        <v>699</v>
      </c>
      <c r="C420" s="1" t="s">
        <v>225</v>
      </c>
      <c r="E420" s="34">
        <v>84401</v>
      </c>
      <c r="F420" s="34"/>
      <c r="G420" s="34">
        <v>0</v>
      </c>
      <c r="H420" s="34"/>
      <c r="I420" s="34">
        <v>0</v>
      </c>
      <c r="J420" s="34"/>
      <c r="K420" s="34">
        <v>1686</v>
      </c>
      <c r="L420" s="34"/>
      <c r="M420" s="34">
        <v>0</v>
      </c>
      <c r="N420" s="34"/>
      <c r="O420" s="34">
        <v>0</v>
      </c>
      <c r="P420" s="34"/>
      <c r="Q420" s="34">
        <v>70040</v>
      </c>
      <c r="R420" s="34"/>
      <c r="S420" s="34">
        <v>0</v>
      </c>
      <c r="T420" s="34"/>
      <c r="U420" s="34">
        <v>0</v>
      </c>
      <c r="V420" s="34"/>
      <c r="W420" s="34">
        <v>0</v>
      </c>
      <c r="X420" s="34"/>
      <c r="Y420" s="34">
        <v>7088</v>
      </c>
      <c r="Z420" s="32"/>
      <c r="AA420" s="34">
        <v>0</v>
      </c>
      <c r="AB420" s="34"/>
      <c r="AC420" s="34">
        <v>16936</v>
      </c>
      <c r="AD420" s="34"/>
      <c r="AE420" s="33">
        <f t="shared" si="6"/>
        <v>180151</v>
      </c>
    </row>
    <row r="421" spans="1:31" ht="12.75" customHeight="1">
      <c r="A421" s="1" t="s">
        <v>496</v>
      </c>
      <c r="C421" s="1" t="s">
        <v>102</v>
      </c>
      <c r="E421" s="34">
        <v>28195</v>
      </c>
      <c r="F421" s="34"/>
      <c r="G421" s="34">
        <v>9989</v>
      </c>
      <c r="H421" s="34"/>
      <c r="I421" s="34">
        <v>22719</v>
      </c>
      <c r="J421" s="34"/>
      <c r="K421" s="34">
        <v>21851</v>
      </c>
      <c r="L421" s="34"/>
      <c r="M421" s="34">
        <v>0</v>
      </c>
      <c r="N421" s="34"/>
      <c r="O421" s="34">
        <v>73736</v>
      </c>
      <c r="P421" s="34"/>
      <c r="Q421" s="34">
        <v>419687</v>
      </c>
      <c r="R421" s="34"/>
      <c r="S421" s="34">
        <v>11113</v>
      </c>
      <c r="T421" s="34"/>
      <c r="U421" s="34">
        <v>0</v>
      </c>
      <c r="V421" s="34"/>
      <c r="W421" s="34">
        <v>0</v>
      </c>
      <c r="X421" s="34"/>
      <c r="Y421" s="34">
        <v>15000</v>
      </c>
      <c r="Z421" s="32"/>
      <c r="AA421" s="34">
        <v>0</v>
      </c>
      <c r="AB421" s="34"/>
      <c r="AC421" s="34">
        <v>23276</v>
      </c>
      <c r="AD421" s="34"/>
      <c r="AE421" s="33">
        <f t="shared" si="6"/>
        <v>625566</v>
      </c>
    </row>
    <row r="422" spans="1:31" ht="12.75" customHeight="1">
      <c r="A422" s="1" t="s">
        <v>724</v>
      </c>
      <c r="C422" s="1" t="s">
        <v>118</v>
      </c>
      <c r="E422" s="34">
        <v>95346</v>
      </c>
      <c r="F422" s="34"/>
      <c r="G422" s="34">
        <v>0</v>
      </c>
      <c r="H422" s="34"/>
      <c r="I422" s="34">
        <v>431</v>
      </c>
      <c r="J422" s="34"/>
      <c r="K422" s="34">
        <v>0</v>
      </c>
      <c r="L422" s="34"/>
      <c r="M422" s="34">
        <v>0</v>
      </c>
      <c r="N422" s="34"/>
      <c r="O422" s="34">
        <v>0</v>
      </c>
      <c r="P422" s="34"/>
      <c r="Q422" s="34">
        <v>65321</v>
      </c>
      <c r="R422" s="34"/>
      <c r="S422" s="34">
        <v>158447</v>
      </c>
      <c r="T422" s="34"/>
      <c r="U422" s="34">
        <v>0</v>
      </c>
      <c r="V422" s="34"/>
      <c r="W422" s="34">
        <v>0</v>
      </c>
      <c r="X422" s="34"/>
      <c r="Y422" s="34">
        <v>0</v>
      </c>
      <c r="Z422" s="32"/>
      <c r="AA422" s="34">
        <v>0</v>
      </c>
      <c r="AB422" s="34"/>
      <c r="AC422" s="34">
        <v>0</v>
      </c>
      <c r="AD422" s="34"/>
      <c r="AE422" s="33">
        <f t="shared" si="6"/>
        <v>319545</v>
      </c>
    </row>
    <row r="423" spans="1:31" ht="12.75" customHeight="1">
      <c r="A423" s="1" t="s">
        <v>501</v>
      </c>
      <c r="C423" s="1" t="s">
        <v>122</v>
      </c>
      <c r="E423" s="34">
        <v>3826</v>
      </c>
      <c r="F423" s="34"/>
      <c r="G423" s="34">
        <v>0</v>
      </c>
      <c r="H423" s="34"/>
      <c r="I423" s="34">
        <v>0</v>
      </c>
      <c r="J423" s="34"/>
      <c r="K423" s="34">
        <v>0</v>
      </c>
      <c r="L423" s="34"/>
      <c r="M423" s="34">
        <v>2943</v>
      </c>
      <c r="N423" s="34"/>
      <c r="O423" s="34">
        <v>0</v>
      </c>
      <c r="P423" s="34"/>
      <c r="Q423" s="34">
        <v>76587</v>
      </c>
      <c r="R423" s="34"/>
      <c r="S423" s="34">
        <v>0</v>
      </c>
      <c r="T423" s="34"/>
      <c r="U423" s="34">
        <v>0</v>
      </c>
      <c r="V423" s="34"/>
      <c r="W423" s="34">
        <v>0</v>
      </c>
      <c r="X423" s="34"/>
      <c r="Y423" s="34">
        <v>21477</v>
      </c>
      <c r="Z423" s="32"/>
      <c r="AA423" s="34">
        <v>3000</v>
      </c>
      <c r="AB423" s="34"/>
      <c r="AC423" s="34">
        <v>0</v>
      </c>
      <c r="AD423" s="34"/>
      <c r="AE423" s="33">
        <f t="shared" si="6"/>
        <v>107833</v>
      </c>
    </row>
    <row r="424" spans="1:31" ht="12.75" customHeight="1">
      <c r="A424" s="1" t="s">
        <v>513</v>
      </c>
      <c r="C424" s="1" t="s">
        <v>160</v>
      </c>
      <c r="E424" s="34">
        <v>220065</v>
      </c>
      <c r="F424" s="34"/>
      <c r="G424" s="34">
        <v>3677</v>
      </c>
      <c r="H424" s="34"/>
      <c r="I424" s="34">
        <v>20182</v>
      </c>
      <c r="J424" s="34"/>
      <c r="K424" s="34">
        <v>25783</v>
      </c>
      <c r="L424" s="34"/>
      <c r="M424" s="34">
        <v>0</v>
      </c>
      <c r="N424" s="34"/>
      <c r="O424" s="34">
        <v>0</v>
      </c>
      <c r="P424" s="34"/>
      <c r="Q424" s="34">
        <v>217105</v>
      </c>
      <c r="R424" s="34"/>
      <c r="S424" s="34">
        <v>0</v>
      </c>
      <c r="T424" s="34"/>
      <c r="U424" s="34">
        <v>10865</v>
      </c>
      <c r="V424" s="34"/>
      <c r="W424" s="34">
        <v>5312</v>
      </c>
      <c r="X424" s="34"/>
      <c r="Y424" s="34">
        <v>30000</v>
      </c>
      <c r="Z424" s="32"/>
      <c r="AA424" s="34">
        <v>0</v>
      </c>
      <c r="AB424" s="34"/>
      <c r="AC424" s="34">
        <v>0</v>
      </c>
      <c r="AD424" s="34"/>
      <c r="AE424" s="33">
        <f t="shared" si="6"/>
        <v>532989</v>
      </c>
    </row>
    <row r="425" spans="1:31" ht="12.75" customHeight="1">
      <c r="A425" s="1" t="s">
        <v>507</v>
      </c>
      <c r="C425" s="1" t="s">
        <v>414</v>
      </c>
      <c r="E425" s="34">
        <v>141346</v>
      </c>
      <c r="F425" s="34"/>
      <c r="G425" s="34">
        <v>0</v>
      </c>
      <c r="H425" s="34"/>
      <c r="I425" s="34">
        <v>11977</v>
      </c>
      <c r="J425" s="34"/>
      <c r="K425" s="34">
        <v>0</v>
      </c>
      <c r="L425" s="34"/>
      <c r="M425" s="34">
        <v>0</v>
      </c>
      <c r="N425" s="34"/>
      <c r="O425" s="34">
        <v>0</v>
      </c>
      <c r="P425" s="34"/>
      <c r="Q425" s="34">
        <v>45381</v>
      </c>
      <c r="R425" s="34"/>
      <c r="S425" s="34">
        <v>0</v>
      </c>
      <c r="T425" s="34"/>
      <c r="U425" s="34">
        <v>0</v>
      </c>
      <c r="V425" s="34"/>
      <c r="W425" s="34">
        <v>13848</v>
      </c>
      <c r="X425" s="34"/>
      <c r="Y425" s="34">
        <v>0</v>
      </c>
      <c r="Z425" s="32"/>
      <c r="AA425" s="34">
        <v>20000</v>
      </c>
      <c r="AB425" s="34"/>
      <c r="AC425" s="34">
        <v>0</v>
      </c>
      <c r="AD425" s="34"/>
      <c r="AE425" s="33">
        <f t="shared" si="6"/>
        <v>232552</v>
      </c>
    </row>
    <row r="426" spans="1:31" ht="12.75" customHeight="1">
      <c r="A426" s="1" t="s">
        <v>324</v>
      </c>
      <c r="C426" s="1" t="s">
        <v>78</v>
      </c>
      <c r="E426" s="34">
        <v>4476</v>
      </c>
      <c r="F426" s="34"/>
      <c r="G426" s="34">
        <v>571</v>
      </c>
      <c r="H426" s="34"/>
      <c r="I426" s="34">
        <v>570</v>
      </c>
      <c r="J426" s="34"/>
      <c r="K426" s="34">
        <v>1164</v>
      </c>
      <c r="L426" s="34"/>
      <c r="M426" s="34">
        <v>15672</v>
      </c>
      <c r="N426" s="34"/>
      <c r="O426" s="34">
        <v>932</v>
      </c>
      <c r="P426" s="34"/>
      <c r="Q426" s="34">
        <v>17941</v>
      </c>
      <c r="R426" s="34"/>
      <c r="S426" s="34">
        <v>0</v>
      </c>
      <c r="T426" s="34"/>
      <c r="U426" s="34">
        <v>0</v>
      </c>
      <c r="V426" s="34"/>
      <c r="W426" s="34">
        <v>0</v>
      </c>
      <c r="X426" s="34"/>
      <c r="Y426" s="34">
        <v>0</v>
      </c>
      <c r="Z426" s="34"/>
      <c r="AA426" s="34">
        <v>0</v>
      </c>
      <c r="AB426" s="32"/>
      <c r="AC426" s="34">
        <v>0</v>
      </c>
      <c r="AD426" s="34"/>
      <c r="AE426" s="33">
        <f t="shared" si="6"/>
        <v>41326</v>
      </c>
    </row>
    <row r="427" spans="1:31" ht="12.75" customHeight="1">
      <c r="A427" s="1" t="s">
        <v>325</v>
      </c>
      <c r="C427" s="1" t="s">
        <v>112</v>
      </c>
      <c r="E427" s="34">
        <v>862060</v>
      </c>
      <c r="F427" s="34"/>
      <c r="G427" s="34">
        <v>1870</v>
      </c>
      <c r="H427" s="34"/>
      <c r="I427" s="34">
        <v>11770</v>
      </c>
      <c r="J427" s="34"/>
      <c r="K427" s="34">
        <v>0</v>
      </c>
      <c r="L427" s="34"/>
      <c r="M427" s="34">
        <v>84132</v>
      </c>
      <c r="N427" s="34"/>
      <c r="O427" s="34">
        <v>99247</v>
      </c>
      <c r="P427" s="34"/>
      <c r="Q427" s="34">
        <v>442671</v>
      </c>
      <c r="R427" s="34"/>
      <c r="S427" s="34">
        <v>14872</v>
      </c>
      <c r="T427" s="34"/>
      <c r="U427" s="34">
        <v>0</v>
      </c>
      <c r="V427" s="34"/>
      <c r="W427" s="34">
        <v>0</v>
      </c>
      <c r="X427" s="34"/>
      <c r="Y427" s="34">
        <v>0</v>
      </c>
      <c r="Z427" s="34"/>
      <c r="AA427" s="34">
        <v>0</v>
      </c>
      <c r="AB427" s="32"/>
      <c r="AC427" s="34">
        <v>0</v>
      </c>
      <c r="AD427" s="34"/>
      <c r="AE427" s="33">
        <f t="shared" si="6"/>
        <v>1516622</v>
      </c>
    </row>
    <row r="428" spans="1:31" ht="12.75" customHeight="1">
      <c r="A428" s="1" t="s">
        <v>326</v>
      </c>
      <c r="C428" s="1" t="s">
        <v>96</v>
      </c>
      <c r="E428" s="34">
        <v>578561</v>
      </c>
      <c r="F428" s="34"/>
      <c r="G428" s="34">
        <v>3009</v>
      </c>
      <c r="H428" s="34"/>
      <c r="I428" s="34">
        <v>0</v>
      </c>
      <c r="J428" s="34"/>
      <c r="K428" s="34">
        <v>0</v>
      </c>
      <c r="L428" s="34"/>
      <c r="M428" s="34">
        <v>4869</v>
      </c>
      <c r="N428" s="34"/>
      <c r="O428" s="34">
        <v>20022</v>
      </c>
      <c r="P428" s="34"/>
      <c r="Q428" s="34">
        <v>331089</v>
      </c>
      <c r="R428" s="34"/>
      <c r="S428" s="34">
        <v>9370</v>
      </c>
      <c r="T428" s="34"/>
      <c r="U428" s="34">
        <v>66264</v>
      </c>
      <c r="V428" s="34"/>
      <c r="W428" s="34">
        <v>0</v>
      </c>
      <c r="X428" s="34"/>
      <c r="Y428" s="34">
        <v>115500</v>
      </c>
      <c r="Z428" s="34"/>
      <c r="AA428" s="34">
        <v>0</v>
      </c>
      <c r="AB428" s="32"/>
      <c r="AC428" s="34">
        <v>2394</v>
      </c>
      <c r="AD428" s="34"/>
      <c r="AE428" s="33">
        <f t="shared" si="6"/>
        <v>1131078</v>
      </c>
    </row>
    <row r="429" spans="1:31" ht="12.75" customHeight="1">
      <c r="A429" s="1" t="s">
        <v>495</v>
      </c>
      <c r="C429" s="1" t="s">
        <v>102</v>
      </c>
      <c r="E429" s="34">
        <v>65718</v>
      </c>
      <c r="F429" s="34"/>
      <c r="G429" s="34">
        <v>0</v>
      </c>
      <c r="H429" s="34"/>
      <c r="I429" s="34">
        <v>0</v>
      </c>
      <c r="J429" s="34"/>
      <c r="K429" s="34">
        <v>0</v>
      </c>
      <c r="L429" s="34"/>
      <c r="M429" s="34">
        <v>0</v>
      </c>
      <c r="N429" s="34"/>
      <c r="O429" s="34">
        <v>0</v>
      </c>
      <c r="P429" s="34"/>
      <c r="Q429" s="34">
        <v>82627</v>
      </c>
      <c r="R429" s="34"/>
      <c r="S429" s="34">
        <v>0</v>
      </c>
      <c r="T429" s="34"/>
      <c r="U429" s="34">
        <v>0</v>
      </c>
      <c r="V429" s="34"/>
      <c r="W429" s="34">
        <v>0</v>
      </c>
      <c r="X429" s="34"/>
      <c r="Y429" s="34">
        <v>0</v>
      </c>
      <c r="Z429" s="32"/>
      <c r="AA429" s="34">
        <v>0</v>
      </c>
      <c r="AB429" s="34"/>
      <c r="AC429" s="34">
        <v>4267</v>
      </c>
      <c r="AD429" s="34"/>
      <c r="AE429" s="33">
        <f t="shared" si="6"/>
        <v>152612</v>
      </c>
    </row>
    <row r="430" spans="1:31" ht="12.75" customHeight="1">
      <c r="A430" s="1" t="s">
        <v>327</v>
      </c>
      <c r="C430" s="1" t="s">
        <v>102</v>
      </c>
      <c r="E430" s="34">
        <v>65718</v>
      </c>
      <c r="F430" s="34"/>
      <c r="G430" s="34">
        <v>0</v>
      </c>
      <c r="H430" s="34"/>
      <c r="I430" s="34">
        <v>0</v>
      </c>
      <c r="J430" s="34"/>
      <c r="K430" s="34">
        <v>0</v>
      </c>
      <c r="L430" s="34"/>
      <c r="M430" s="34">
        <v>0</v>
      </c>
      <c r="N430" s="34"/>
      <c r="O430" s="34">
        <v>0</v>
      </c>
      <c r="P430" s="34"/>
      <c r="Q430" s="34">
        <v>82627</v>
      </c>
      <c r="R430" s="34"/>
      <c r="S430" s="34">
        <v>0</v>
      </c>
      <c r="T430" s="34"/>
      <c r="U430" s="34">
        <v>0</v>
      </c>
      <c r="V430" s="34"/>
      <c r="W430" s="34">
        <v>0</v>
      </c>
      <c r="X430" s="34"/>
      <c r="Y430" s="34">
        <v>0</v>
      </c>
      <c r="Z430" s="34"/>
      <c r="AA430" s="34">
        <v>0</v>
      </c>
      <c r="AB430" s="32"/>
      <c r="AC430" s="34">
        <v>4267</v>
      </c>
      <c r="AD430" s="34"/>
      <c r="AE430" s="33">
        <f t="shared" si="6"/>
        <v>152612</v>
      </c>
    </row>
    <row r="431" spans="1:31" ht="12.75" customHeight="1">
      <c r="A431" s="1" t="s">
        <v>569</v>
      </c>
      <c r="C431" s="1" t="s">
        <v>73</v>
      </c>
      <c r="E431" s="34">
        <v>502089</v>
      </c>
      <c r="F431" s="34"/>
      <c r="G431" s="34">
        <v>0</v>
      </c>
      <c r="H431" s="34"/>
      <c r="I431" s="34">
        <v>0</v>
      </c>
      <c r="J431" s="34"/>
      <c r="K431" s="34">
        <v>0</v>
      </c>
      <c r="L431" s="34"/>
      <c r="M431" s="34">
        <v>85538</v>
      </c>
      <c r="N431" s="34"/>
      <c r="O431" s="34">
        <v>165569</v>
      </c>
      <c r="P431" s="34"/>
      <c r="Q431" s="34">
        <v>341891</v>
      </c>
      <c r="R431" s="34"/>
      <c r="S431" s="34">
        <v>0</v>
      </c>
      <c r="T431" s="34"/>
      <c r="U431" s="34">
        <v>0</v>
      </c>
      <c r="V431" s="34"/>
      <c r="W431" s="34">
        <v>0</v>
      </c>
      <c r="X431" s="34"/>
      <c r="Y431" s="34">
        <v>247703</v>
      </c>
      <c r="Z431" s="32"/>
      <c r="AA431" s="34">
        <v>76000</v>
      </c>
      <c r="AB431" s="34"/>
      <c r="AC431" s="34">
        <v>0</v>
      </c>
      <c r="AD431" s="34"/>
      <c r="AE431" s="33">
        <f t="shared" si="6"/>
        <v>1418790</v>
      </c>
    </row>
    <row r="432" spans="1:31" ht="12.75" customHeight="1">
      <c r="A432" s="1" t="s">
        <v>524</v>
      </c>
      <c r="C432" s="1" t="s">
        <v>244</v>
      </c>
      <c r="E432" s="34">
        <v>6390</v>
      </c>
      <c r="F432" s="34"/>
      <c r="G432" s="34">
        <v>3415</v>
      </c>
      <c r="H432" s="34"/>
      <c r="I432" s="34">
        <v>1180</v>
      </c>
      <c r="J432" s="34"/>
      <c r="K432" s="34">
        <v>0</v>
      </c>
      <c r="L432" s="34"/>
      <c r="M432" s="34">
        <v>10581</v>
      </c>
      <c r="N432" s="34"/>
      <c r="O432" s="34">
        <v>33918</v>
      </c>
      <c r="P432" s="34"/>
      <c r="Q432" s="34">
        <v>53229</v>
      </c>
      <c r="R432" s="34"/>
      <c r="S432" s="34">
        <v>0</v>
      </c>
      <c r="T432" s="34"/>
      <c r="U432" s="34">
        <v>0</v>
      </c>
      <c r="V432" s="34"/>
      <c r="W432" s="34">
        <v>0</v>
      </c>
      <c r="X432" s="34"/>
      <c r="Y432" s="34">
        <v>0</v>
      </c>
      <c r="Z432" s="32"/>
      <c r="AA432" s="34">
        <v>0</v>
      </c>
      <c r="AB432" s="34"/>
      <c r="AC432" s="34">
        <v>0</v>
      </c>
      <c r="AD432" s="34"/>
      <c r="AE432" s="33">
        <f t="shared" si="6"/>
        <v>108713</v>
      </c>
    </row>
    <row r="433" spans="1:31" ht="12.75" customHeight="1">
      <c r="A433" s="1" t="s">
        <v>328</v>
      </c>
      <c r="C433" s="1" t="s">
        <v>94</v>
      </c>
      <c r="E433" s="34">
        <v>478103</v>
      </c>
      <c r="F433" s="34"/>
      <c r="G433" s="34">
        <v>27040</v>
      </c>
      <c r="H433" s="34"/>
      <c r="I433" s="34">
        <v>0</v>
      </c>
      <c r="J433" s="34"/>
      <c r="K433" s="34">
        <v>7792</v>
      </c>
      <c r="L433" s="34"/>
      <c r="M433" s="34">
        <v>0</v>
      </c>
      <c r="N433" s="34"/>
      <c r="O433" s="34">
        <v>0</v>
      </c>
      <c r="P433" s="34"/>
      <c r="Q433" s="34">
        <v>208842</v>
      </c>
      <c r="R433" s="34"/>
      <c r="S433" s="34">
        <v>90012</v>
      </c>
      <c r="T433" s="34"/>
      <c r="U433" s="34">
        <v>0</v>
      </c>
      <c r="V433" s="34"/>
      <c r="W433" s="34">
        <v>0</v>
      </c>
      <c r="X433" s="34"/>
      <c r="Y433" s="34">
        <v>120516</v>
      </c>
      <c r="Z433" s="34"/>
      <c r="AA433" s="34">
        <v>0</v>
      </c>
      <c r="AB433" s="32"/>
      <c r="AC433" s="34">
        <v>2325</v>
      </c>
      <c r="AD433" s="34"/>
      <c r="AE433" s="33">
        <f t="shared" si="6"/>
        <v>934630</v>
      </c>
    </row>
    <row r="434" spans="1:31" ht="12.75" customHeight="1">
      <c r="A434" s="1" t="s">
        <v>570</v>
      </c>
      <c r="C434" s="1" t="s">
        <v>73</v>
      </c>
      <c r="E434" s="34">
        <v>82166</v>
      </c>
      <c r="F434" s="34"/>
      <c r="G434" s="34">
        <v>0</v>
      </c>
      <c r="H434" s="34"/>
      <c r="I434" s="34">
        <v>783</v>
      </c>
      <c r="J434" s="34"/>
      <c r="K434" s="34">
        <v>0</v>
      </c>
      <c r="L434" s="34"/>
      <c r="M434" s="34">
        <v>8472</v>
      </c>
      <c r="N434" s="34"/>
      <c r="O434" s="34">
        <v>0</v>
      </c>
      <c r="P434" s="34"/>
      <c r="Q434" s="34">
        <v>85182</v>
      </c>
      <c r="R434" s="34"/>
      <c r="S434" s="34">
        <v>0</v>
      </c>
      <c r="T434" s="34"/>
      <c r="U434" s="34">
        <v>0</v>
      </c>
      <c r="V434" s="34"/>
      <c r="W434" s="34">
        <v>0</v>
      </c>
      <c r="X434" s="34"/>
      <c r="Y434" s="34">
        <v>23835</v>
      </c>
      <c r="Z434" s="32"/>
      <c r="AA434" s="34">
        <v>0</v>
      </c>
      <c r="AB434" s="34"/>
      <c r="AC434" s="34">
        <v>3357</v>
      </c>
      <c r="AD434" s="34"/>
      <c r="AE434" s="33">
        <f t="shared" si="6"/>
        <v>203795</v>
      </c>
    </row>
    <row r="435" spans="1:31" ht="12.75" customHeight="1">
      <c r="A435" s="1" t="s">
        <v>594</v>
      </c>
      <c r="C435" s="1" t="s">
        <v>303</v>
      </c>
      <c r="E435" s="34">
        <v>6290</v>
      </c>
      <c r="F435" s="34"/>
      <c r="G435" s="34">
        <v>302</v>
      </c>
      <c r="H435" s="34"/>
      <c r="I435" s="34">
        <v>16620</v>
      </c>
      <c r="J435" s="34"/>
      <c r="K435" s="34">
        <v>3394</v>
      </c>
      <c r="L435" s="34"/>
      <c r="M435" s="34">
        <v>19067</v>
      </c>
      <c r="N435" s="34"/>
      <c r="O435" s="34">
        <v>0</v>
      </c>
      <c r="P435" s="34"/>
      <c r="Q435" s="34">
        <v>69692</v>
      </c>
      <c r="R435" s="34"/>
      <c r="S435" s="34">
        <v>0</v>
      </c>
      <c r="T435" s="34"/>
      <c r="U435" s="34">
        <v>0</v>
      </c>
      <c r="V435" s="34"/>
      <c r="W435" s="34">
        <v>0</v>
      </c>
      <c r="X435" s="34"/>
      <c r="Y435" s="34">
        <v>33</v>
      </c>
      <c r="Z435" s="32"/>
      <c r="AA435" s="34">
        <v>0</v>
      </c>
      <c r="AB435" s="34"/>
      <c r="AC435" s="34">
        <v>0</v>
      </c>
      <c r="AD435" s="34"/>
      <c r="AE435" s="33">
        <f t="shared" si="6"/>
        <v>115398</v>
      </c>
    </row>
    <row r="436" spans="1:31" ht="12.75" customHeight="1">
      <c r="A436" s="1" t="s">
        <v>488</v>
      </c>
      <c r="C436" s="1" t="s">
        <v>194</v>
      </c>
      <c r="E436" s="34">
        <v>89478</v>
      </c>
      <c r="F436" s="34"/>
      <c r="G436" s="34">
        <v>0</v>
      </c>
      <c r="H436" s="34"/>
      <c r="I436" s="34">
        <v>2359</v>
      </c>
      <c r="J436" s="34"/>
      <c r="K436" s="34">
        <v>0</v>
      </c>
      <c r="L436" s="34"/>
      <c r="M436" s="34">
        <v>0</v>
      </c>
      <c r="N436" s="34"/>
      <c r="O436" s="34">
        <v>0</v>
      </c>
      <c r="P436" s="34"/>
      <c r="Q436" s="34">
        <v>70288</v>
      </c>
      <c r="R436" s="34"/>
      <c r="S436" s="34">
        <v>0</v>
      </c>
      <c r="T436" s="34"/>
      <c r="U436" s="34">
        <v>0</v>
      </c>
      <c r="V436" s="34"/>
      <c r="W436" s="34">
        <v>0</v>
      </c>
      <c r="X436" s="34"/>
      <c r="Y436" s="34">
        <v>3531</v>
      </c>
      <c r="Z436" s="32"/>
      <c r="AA436" s="34">
        <v>8657</v>
      </c>
      <c r="AB436" s="34"/>
      <c r="AC436" s="34">
        <v>644</v>
      </c>
      <c r="AD436" s="34"/>
      <c r="AE436" s="33">
        <f t="shared" si="6"/>
        <v>174957</v>
      </c>
    </row>
    <row r="437" spans="1:31" ht="12.75" customHeight="1">
      <c r="A437" s="1" t="s">
        <v>457</v>
      </c>
      <c r="C437" s="1" t="s">
        <v>76</v>
      </c>
      <c r="E437" s="34">
        <v>314216</v>
      </c>
      <c r="F437" s="34"/>
      <c r="G437" s="34">
        <v>26704</v>
      </c>
      <c r="H437" s="34"/>
      <c r="I437" s="34">
        <v>0</v>
      </c>
      <c r="J437" s="34"/>
      <c r="K437" s="34">
        <v>3686</v>
      </c>
      <c r="L437" s="34"/>
      <c r="M437" s="34">
        <v>0</v>
      </c>
      <c r="N437" s="34"/>
      <c r="O437" s="34">
        <v>20689</v>
      </c>
      <c r="P437" s="34"/>
      <c r="Q437" s="34">
        <v>309936</v>
      </c>
      <c r="R437" s="34"/>
      <c r="S437" s="34">
        <v>0</v>
      </c>
      <c r="T437" s="34"/>
      <c r="U437" s="34">
        <v>0</v>
      </c>
      <c r="V437" s="34"/>
      <c r="W437" s="34">
        <v>0</v>
      </c>
      <c r="X437" s="34"/>
      <c r="Y437" s="34">
        <v>25322</v>
      </c>
      <c r="Z437" s="32"/>
      <c r="AA437" s="34">
        <v>0</v>
      </c>
      <c r="AB437" s="34"/>
      <c r="AC437" s="34">
        <v>0</v>
      </c>
      <c r="AD437" s="34"/>
      <c r="AE437" s="33">
        <f t="shared" si="6"/>
        <v>700553</v>
      </c>
    </row>
    <row r="438" spans="1:31" ht="12.75" customHeight="1">
      <c r="A438" s="1" t="s">
        <v>329</v>
      </c>
      <c r="C438" s="1" t="s">
        <v>312</v>
      </c>
      <c r="E438" s="34">
        <v>102411</v>
      </c>
      <c r="F438" s="34"/>
      <c r="G438" s="34">
        <v>4397</v>
      </c>
      <c r="H438" s="34"/>
      <c r="I438" s="34">
        <v>2280</v>
      </c>
      <c r="J438" s="34"/>
      <c r="K438" s="34">
        <v>0</v>
      </c>
      <c r="L438" s="34"/>
      <c r="M438" s="34">
        <v>0</v>
      </c>
      <c r="N438" s="34"/>
      <c r="O438" s="34">
        <v>0</v>
      </c>
      <c r="P438" s="34"/>
      <c r="Q438" s="34">
        <v>261538</v>
      </c>
      <c r="R438" s="34"/>
      <c r="S438" s="34">
        <v>46651</v>
      </c>
      <c r="T438" s="34"/>
      <c r="U438" s="34">
        <v>0</v>
      </c>
      <c r="V438" s="34"/>
      <c r="W438" s="34">
        <v>0</v>
      </c>
      <c r="X438" s="34"/>
      <c r="Y438" s="34">
        <v>0</v>
      </c>
      <c r="Z438" s="34"/>
      <c r="AA438" s="34">
        <v>0</v>
      </c>
      <c r="AB438" s="32"/>
      <c r="AC438" s="34">
        <v>0</v>
      </c>
      <c r="AD438" s="34"/>
      <c r="AE438" s="33">
        <f t="shared" si="6"/>
        <v>417277</v>
      </c>
    </row>
    <row r="439" spans="1:31" ht="12.75" customHeight="1">
      <c r="A439" s="1" t="s">
        <v>607</v>
      </c>
      <c r="C439" s="1" t="s">
        <v>197</v>
      </c>
      <c r="E439" s="34">
        <v>167844</v>
      </c>
      <c r="F439" s="34"/>
      <c r="G439" s="34">
        <v>105514</v>
      </c>
      <c r="H439" s="34"/>
      <c r="I439" s="34">
        <v>505628</v>
      </c>
      <c r="J439" s="34"/>
      <c r="K439" s="34">
        <v>72768</v>
      </c>
      <c r="L439" s="34"/>
      <c r="M439" s="34">
        <v>228386</v>
      </c>
      <c r="N439" s="34"/>
      <c r="O439" s="34">
        <v>0</v>
      </c>
      <c r="P439" s="34"/>
      <c r="Q439" s="34">
        <v>377089</v>
      </c>
      <c r="R439" s="34"/>
      <c r="S439" s="34">
        <v>0</v>
      </c>
      <c r="T439" s="34"/>
      <c r="U439" s="34">
        <v>0</v>
      </c>
      <c r="V439" s="34"/>
      <c r="W439" s="34">
        <v>0</v>
      </c>
      <c r="X439" s="34"/>
      <c r="Y439" s="34">
        <v>0</v>
      </c>
      <c r="Z439" s="32"/>
      <c r="AA439" s="34">
        <v>0</v>
      </c>
      <c r="AB439" s="34"/>
      <c r="AC439" s="34">
        <v>58220</v>
      </c>
      <c r="AD439" s="34"/>
      <c r="AE439" s="33">
        <f t="shared" si="6"/>
        <v>1515449</v>
      </c>
    </row>
    <row r="440" spans="1:31" ht="12.75" customHeight="1">
      <c r="A440" s="1" t="s">
        <v>518</v>
      </c>
      <c r="C440" s="1" t="s">
        <v>112</v>
      </c>
      <c r="E440" s="34">
        <v>1166720</v>
      </c>
      <c r="F440" s="34"/>
      <c r="G440" s="34">
        <v>1363</v>
      </c>
      <c r="H440" s="34"/>
      <c r="I440" s="34">
        <v>5404</v>
      </c>
      <c r="J440" s="34"/>
      <c r="K440" s="34">
        <v>185589</v>
      </c>
      <c r="L440" s="34"/>
      <c r="M440" s="34">
        <v>116167</v>
      </c>
      <c r="N440" s="34"/>
      <c r="O440" s="34">
        <v>0</v>
      </c>
      <c r="P440" s="34"/>
      <c r="Q440" s="34">
        <v>677192</v>
      </c>
      <c r="R440" s="34"/>
      <c r="S440" s="34">
        <v>16449</v>
      </c>
      <c r="T440" s="34"/>
      <c r="U440" s="34">
        <v>0</v>
      </c>
      <c r="V440" s="34"/>
      <c r="W440" s="34">
        <v>0</v>
      </c>
      <c r="X440" s="34"/>
      <c r="Y440" s="34">
        <v>56630</v>
      </c>
      <c r="Z440" s="32"/>
      <c r="AA440" s="34">
        <v>0</v>
      </c>
      <c r="AB440" s="34"/>
      <c r="AC440" s="34">
        <v>0</v>
      </c>
      <c r="AD440" s="34"/>
      <c r="AE440" s="33">
        <f t="shared" si="6"/>
        <v>2225514</v>
      </c>
    </row>
    <row r="441" spans="1:31" ht="12.75" customHeight="1">
      <c r="A441" s="1" t="s">
        <v>330</v>
      </c>
      <c r="C441" s="1" t="s">
        <v>160</v>
      </c>
      <c r="E441" s="34">
        <v>3608</v>
      </c>
      <c r="F441" s="34"/>
      <c r="G441" s="34">
        <v>399</v>
      </c>
      <c r="H441" s="34"/>
      <c r="I441" s="34">
        <v>0</v>
      </c>
      <c r="J441" s="34"/>
      <c r="K441" s="34">
        <v>0</v>
      </c>
      <c r="L441" s="34"/>
      <c r="M441" s="34">
        <v>2360</v>
      </c>
      <c r="N441" s="34"/>
      <c r="O441" s="34">
        <v>500</v>
      </c>
      <c r="P441" s="34"/>
      <c r="Q441" s="34">
        <v>16581</v>
      </c>
      <c r="R441" s="34"/>
      <c r="S441" s="34">
        <v>0</v>
      </c>
      <c r="T441" s="34"/>
      <c r="U441" s="34">
        <v>0</v>
      </c>
      <c r="V441" s="34"/>
      <c r="W441" s="34">
        <v>0</v>
      </c>
      <c r="X441" s="34"/>
      <c r="Y441" s="34">
        <v>0</v>
      </c>
      <c r="Z441" s="34"/>
      <c r="AA441" s="34">
        <v>0</v>
      </c>
      <c r="AB441" s="32"/>
      <c r="AC441" s="34">
        <v>0</v>
      </c>
      <c r="AD441" s="34"/>
      <c r="AE441" s="33">
        <f t="shared" si="6"/>
        <v>23448</v>
      </c>
    </row>
    <row r="442" spans="1:31" ht="12.75" customHeight="1">
      <c r="A442" s="1" t="s">
        <v>331</v>
      </c>
      <c r="C442" s="1" t="s">
        <v>78</v>
      </c>
      <c r="E442" s="34">
        <v>4041</v>
      </c>
      <c r="F442" s="34"/>
      <c r="G442" s="34">
        <v>1071</v>
      </c>
      <c r="H442" s="34"/>
      <c r="I442" s="34">
        <v>4447</v>
      </c>
      <c r="J442" s="34"/>
      <c r="K442" s="34">
        <v>0</v>
      </c>
      <c r="L442" s="34"/>
      <c r="M442" s="34">
        <v>3357</v>
      </c>
      <c r="N442" s="34"/>
      <c r="O442" s="34">
        <v>17204</v>
      </c>
      <c r="P442" s="34"/>
      <c r="Q442" s="34">
        <v>12199</v>
      </c>
      <c r="R442" s="34"/>
      <c r="S442" s="34">
        <v>0</v>
      </c>
      <c r="T442" s="34"/>
      <c r="U442" s="34">
        <v>0</v>
      </c>
      <c r="V442" s="34"/>
      <c r="W442" s="34">
        <v>0</v>
      </c>
      <c r="X442" s="34"/>
      <c r="Y442" s="34">
        <v>0</v>
      </c>
      <c r="Z442" s="34"/>
      <c r="AA442" s="34">
        <v>0</v>
      </c>
      <c r="AB442" s="32"/>
      <c r="AC442" s="34">
        <v>0</v>
      </c>
      <c r="AD442" s="34"/>
      <c r="AE442" s="33">
        <f t="shared" si="6"/>
        <v>42319</v>
      </c>
    </row>
    <row r="443" spans="1:31" ht="12.75" customHeight="1">
      <c r="A443" s="1" t="s">
        <v>332</v>
      </c>
      <c r="C443" s="1" t="s">
        <v>129</v>
      </c>
      <c r="E443" s="34">
        <v>778677</v>
      </c>
      <c r="F443" s="34"/>
      <c r="G443" s="34">
        <v>34857</v>
      </c>
      <c r="H443" s="34"/>
      <c r="I443" s="34">
        <v>16925</v>
      </c>
      <c r="J443" s="34"/>
      <c r="K443" s="34">
        <v>1709</v>
      </c>
      <c r="L443" s="34"/>
      <c r="M443" s="34">
        <v>0</v>
      </c>
      <c r="N443" s="34"/>
      <c r="O443" s="34">
        <v>317903</v>
      </c>
      <c r="P443" s="34"/>
      <c r="Q443" s="34">
        <v>526202</v>
      </c>
      <c r="R443" s="34"/>
      <c r="S443" s="34">
        <v>0</v>
      </c>
      <c r="T443" s="34"/>
      <c r="U443" s="34">
        <v>0</v>
      </c>
      <c r="V443" s="34"/>
      <c r="W443" s="34">
        <v>0</v>
      </c>
      <c r="X443" s="34"/>
      <c r="Y443" s="34">
        <v>20000</v>
      </c>
      <c r="Z443" s="34"/>
      <c r="AA443" s="34">
        <v>0</v>
      </c>
      <c r="AB443" s="32"/>
      <c r="AC443" s="34">
        <v>0</v>
      </c>
      <c r="AD443" s="34"/>
      <c r="AE443" s="33">
        <f t="shared" si="6"/>
        <v>1696273</v>
      </c>
    </row>
    <row r="444" spans="1:31" ht="12.75" customHeight="1">
      <c r="A444" s="1" t="s">
        <v>670</v>
      </c>
      <c r="C444" s="1" t="s">
        <v>67</v>
      </c>
      <c r="E444" s="34">
        <v>1203</v>
      </c>
      <c r="F444" s="34"/>
      <c r="G444" s="34">
        <v>0</v>
      </c>
      <c r="H444" s="34"/>
      <c r="I444" s="34">
        <v>315</v>
      </c>
      <c r="J444" s="34"/>
      <c r="K444" s="34">
        <v>0</v>
      </c>
      <c r="L444" s="34"/>
      <c r="M444" s="34">
        <v>0</v>
      </c>
      <c r="N444" s="34"/>
      <c r="O444" s="34">
        <v>0</v>
      </c>
      <c r="P444" s="34"/>
      <c r="Q444" s="34">
        <v>8680</v>
      </c>
      <c r="R444" s="34"/>
      <c r="S444" s="34">
        <v>767</v>
      </c>
      <c r="T444" s="34"/>
      <c r="U444" s="34">
        <v>0</v>
      </c>
      <c r="V444" s="34"/>
      <c r="W444" s="34">
        <v>0</v>
      </c>
      <c r="X444" s="34"/>
      <c r="Y444" s="34">
        <v>0</v>
      </c>
      <c r="Z444" s="32"/>
      <c r="AA444" s="34">
        <v>0</v>
      </c>
      <c r="AB444" s="34"/>
      <c r="AC444" s="34">
        <v>26</v>
      </c>
      <c r="AD444" s="34"/>
      <c r="AE444" s="33">
        <f t="shared" si="6"/>
        <v>10991</v>
      </c>
    </row>
    <row r="445" spans="1:31" ht="12.75" customHeight="1">
      <c r="A445" s="1" t="s">
        <v>333</v>
      </c>
      <c r="C445" s="1" t="s">
        <v>215</v>
      </c>
      <c r="E445" s="34">
        <v>598194</v>
      </c>
      <c r="F445" s="34"/>
      <c r="G445" s="34">
        <v>6599</v>
      </c>
      <c r="H445" s="34"/>
      <c r="I445" s="34">
        <v>31659</v>
      </c>
      <c r="J445" s="34"/>
      <c r="K445" s="34">
        <v>746</v>
      </c>
      <c r="L445" s="34"/>
      <c r="M445" s="34">
        <v>0</v>
      </c>
      <c r="N445" s="34"/>
      <c r="O445" s="34">
        <v>218408</v>
      </c>
      <c r="P445" s="34"/>
      <c r="Q445" s="34">
        <v>199045</v>
      </c>
      <c r="R445" s="34"/>
      <c r="S445" s="34">
        <v>94500</v>
      </c>
      <c r="T445" s="34"/>
      <c r="U445" s="34">
        <v>0</v>
      </c>
      <c r="V445" s="34"/>
      <c r="W445" s="34">
        <v>0</v>
      </c>
      <c r="X445" s="34"/>
      <c r="Y445" s="34">
        <v>63000</v>
      </c>
      <c r="Z445" s="34"/>
      <c r="AA445" s="34">
        <v>0</v>
      </c>
      <c r="AB445" s="32"/>
      <c r="AC445" s="34">
        <v>23823</v>
      </c>
      <c r="AD445" s="34"/>
      <c r="AE445" s="33">
        <f t="shared" si="6"/>
        <v>1235974</v>
      </c>
    </row>
    <row r="446" spans="1:31" ht="12.75" customHeight="1">
      <c r="A446" s="1" t="s">
        <v>595</v>
      </c>
      <c r="C446" s="1" t="s">
        <v>596</v>
      </c>
      <c r="E446" s="34">
        <v>177440</v>
      </c>
      <c r="F446" s="34"/>
      <c r="G446" s="34">
        <v>0</v>
      </c>
      <c r="H446" s="34"/>
      <c r="I446" s="34">
        <v>0</v>
      </c>
      <c r="J446" s="34"/>
      <c r="K446" s="34">
        <v>0</v>
      </c>
      <c r="L446" s="34"/>
      <c r="M446" s="34">
        <v>24261</v>
      </c>
      <c r="N446" s="34"/>
      <c r="O446" s="34">
        <v>0</v>
      </c>
      <c r="P446" s="34"/>
      <c r="Q446" s="34">
        <v>34918</v>
      </c>
      <c r="R446" s="34"/>
      <c r="S446" s="34">
        <v>0</v>
      </c>
      <c r="T446" s="34"/>
      <c r="U446" s="34">
        <v>0</v>
      </c>
      <c r="V446" s="34"/>
      <c r="W446" s="34">
        <v>0</v>
      </c>
      <c r="X446" s="34"/>
      <c r="Y446" s="34">
        <v>1915</v>
      </c>
      <c r="Z446" s="32"/>
      <c r="AA446" s="34">
        <v>20696</v>
      </c>
      <c r="AB446" s="34"/>
      <c r="AC446" s="34">
        <v>37</v>
      </c>
      <c r="AD446" s="34"/>
      <c r="AE446" s="33">
        <f t="shared" si="6"/>
        <v>259267</v>
      </c>
    </row>
    <row r="447" spans="1:31" ht="12.75" customHeight="1">
      <c r="A447" s="1" t="s">
        <v>334</v>
      </c>
      <c r="C447" s="1" t="s">
        <v>112</v>
      </c>
      <c r="E447" s="34">
        <v>1956069</v>
      </c>
      <c r="F447" s="34"/>
      <c r="G447" s="34">
        <v>0</v>
      </c>
      <c r="H447" s="34"/>
      <c r="I447" s="34">
        <v>0</v>
      </c>
      <c r="J447" s="34"/>
      <c r="K447" s="34">
        <v>172395</v>
      </c>
      <c r="L447" s="34"/>
      <c r="M447" s="34">
        <v>207258</v>
      </c>
      <c r="N447" s="34"/>
      <c r="O447" s="34">
        <v>50413</v>
      </c>
      <c r="P447" s="34"/>
      <c r="Q447" s="34">
        <v>842676</v>
      </c>
      <c r="R447" s="34"/>
      <c r="S447" s="34">
        <v>0</v>
      </c>
      <c r="T447" s="34"/>
      <c r="U447" s="34">
        <v>0</v>
      </c>
      <c r="V447" s="34"/>
      <c r="W447" s="34">
        <v>0</v>
      </c>
      <c r="X447" s="34"/>
      <c r="Y447" s="34">
        <v>205000</v>
      </c>
      <c r="Z447" s="34"/>
      <c r="AA447" s="34">
        <v>0</v>
      </c>
      <c r="AB447" s="32"/>
      <c r="AC447" s="34">
        <v>1060447</v>
      </c>
      <c r="AD447" s="34"/>
      <c r="AE447" s="33">
        <f t="shared" si="6"/>
        <v>4494258</v>
      </c>
    </row>
    <row r="448" spans="5:31" ht="12.75" customHeight="1"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2"/>
      <c r="AA448" s="34"/>
      <c r="AB448" s="34"/>
      <c r="AD448" s="34"/>
      <c r="AE448" s="34" t="s">
        <v>785</v>
      </c>
    </row>
    <row r="449" spans="1:31" s="36" customFormat="1" ht="12.75" customHeight="1">
      <c r="A449" s="36" t="s">
        <v>334</v>
      </c>
      <c r="C449" s="36" t="s">
        <v>82</v>
      </c>
      <c r="E449" s="39">
        <v>0</v>
      </c>
      <c r="F449" s="39"/>
      <c r="G449" s="39">
        <v>0</v>
      </c>
      <c r="H449" s="39"/>
      <c r="I449" s="39">
        <v>0</v>
      </c>
      <c r="J449" s="39"/>
      <c r="K449" s="39">
        <v>0</v>
      </c>
      <c r="L449" s="39"/>
      <c r="M449" s="39">
        <v>0</v>
      </c>
      <c r="N449" s="39"/>
      <c r="O449" s="39">
        <v>0</v>
      </c>
      <c r="P449" s="39"/>
      <c r="Q449" s="39">
        <v>103786</v>
      </c>
      <c r="R449" s="39"/>
      <c r="S449" s="39">
        <v>6516</v>
      </c>
      <c r="T449" s="39"/>
      <c r="U449" s="39">
        <v>0</v>
      </c>
      <c r="V449" s="39"/>
      <c r="W449" s="39">
        <v>0</v>
      </c>
      <c r="X449" s="39"/>
      <c r="Y449" s="39">
        <v>85500</v>
      </c>
      <c r="Z449" s="39"/>
      <c r="AA449" s="39">
        <v>0</v>
      </c>
      <c r="AB449" s="38"/>
      <c r="AC449" s="39">
        <v>111237</v>
      </c>
      <c r="AD449" s="39"/>
      <c r="AE449" s="40">
        <f t="shared" si="6"/>
        <v>307039</v>
      </c>
    </row>
    <row r="450" spans="1:31" ht="12.75" customHeight="1">
      <c r="A450" s="1" t="s">
        <v>546</v>
      </c>
      <c r="C450" s="1" t="s">
        <v>149</v>
      </c>
      <c r="E450" s="34">
        <v>1104240</v>
      </c>
      <c r="F450" s="34"/>
      <c r="G450" s="34">
        <v>20760</v>
      </c>
      <c r="H450" s="34"/>
      <c r="I450" s="34">
        <v>282997</v>
      </c>
      <c r="J450" s="34"/>
      <c r="K450" s="34">
        <v>528996</v>
      </c>
      <c r="L450" s="34"/>
      <c r="M450" s="34">
        <v>0</v>
      </c>
      <c r="N450" s="34"/>
      <c r="O450" s="34">
        <v>127972</v>
      </c>
      <c r="P450" s="34"/>
      <c r="Q450" s="34">
        <v>1226781</v>
      </c>
      <c r="R450" s="34"/>
      <c r="S450" s="34">
        <v>31948</v>
      </c>
      <c r="T450" s="34"/>
      <c r="U450" s="34">
        <v>0</v>
      </c>
      <c r="V450" s="34"/>
      <c r="W450" s="34">
        <v>0</v>
      </c>
      <c r="X450" s="34"/>
      <c r="Y450" s="34">
        <v>0</v>
      </c>
      <c r="Z450" s="32"/>
      <c r="AA450" s="34">
        <v>0</v>
      </c>
      <c r="AB450" s="34"/>
      <c r="AC450" s="34">
        <v>0</v>
      </c>
      <c r="AD450" s="34"/>
      <c r="AE450" s="33">
        <f t="shared" si="6"/>
        <v>3323694</v>
      </c>
    </row>
    <row r="451" spans="1:31" ht="12.75" customHeight="1">
      <c r="A451" s="1" t="s">
        <v>540</v>
      </c>
      <c r="C451" s="1" t="s">
        <v>200</v>
      </c>
      <c r="E451" s="34">
        <v>3837</v>
      </c>
      <c r="F451" s="34"/>
      <c r="G451" s="34">
        <v>395</v>
      </c>
      <c r="H451" s="34"/>
      <c r="I451" s="34">
        <v>744</v>
      </c>
      <c r="J451" s="34"/>
      <c r="K451" s="34">
        <v>587</v>
      </c>
      <c r="L451" s="34"/>
      <c r="M451" s="34">
        <v>1866</v>
      </c>
      <c r="N451" s="34"/>
      <c r="O451" s="34">
        <v>3568</v>
      </c>
      <c r="P451" s="34"/>
      <c r="Q451" s="34">
        <v>69711</v>
      </c>
      <c r="R451" s="34"/>
      <c r="S451" s="34">
        <v>0</v>
      </c>
      <c r="T451" s="34"/>
      <c r="U451" s="34">
        <v>2343</v>
      </c>
      <c r="V451" s="34"/>
      <c r="W451" s="34">
        <v>164</v>
      </c>
      <c r="X451" s="34"/>
      <c r="Y451" s="34">
        <v>233</v>
      </c>
      <c r="Z451" s="32"/>
      <c r="AA451" s="34">
        <v>0</v>
      </c>
      <c r="AB451" s="34"/>
      <c r="AC451" s="34">
        <v>0</v>
      </c>
      <c r="AD451" s="34"/>
      <c r="AE451" s="33">
        <f t="shared" si="6"/>
        <v>83448</v>
      </c>
    </row>
    <row r="452" spans="1:31" ht="12.75" customHeight="1">
      <c r="A452" s="1" t="s">
        <v>335</v>
      </c>
      <c r="C452" s="1" t="s">
        <v>192</v>
      </c>
      <c r="E452" s="34">
        <v>45569</v>
      </c>
      <c r="F452" s="34"/>
      <c r="G452" s="34">
        <v>4886</v>
      </c>
      <c r="H452" s="34"/>
      <c r="I452" s="34">
        <v>3338</v>
      </c>
      <c r="J452" s="34"/>
      <c r="K452" s="34">
        <v>343</v>
      </c>
      <c r="L452" s="34"/>
      <c r="M452" s="34">
        <v>14289</v>
      </c>
      <c r="N452" s="34"/>
      <c r="O452" s="34">
        <v>0</v>
      </c>
      <c r="P452" s="34"/>
      <c r="Q452" s="34">
        <v>66670</v>
      </c>
      <c r="R452" s="34"/>
      <c r="S452" s="34">
        <v>6900</v>
      </c>
      <c r="T452" s="34"/>
      <c r="U452" s="34">
        <v>0</v>
      </c>
      <c r="V452" s="34"/>
      <c r="W452" s="34">
        <v>0</v>
      </c>
      <c r="X452" s="34"/>
      <c r="Y452" s="34">
        <v>25293</v>
      </c>
      <c r="Z452" s="34"/>
      <c r="AA452" s="34">
        <v>0</v>
      </c>
      <c r="AB452" s="32"/>
      <c r="AC452" s="34">
        <v>0</v>
      </c>
      <c r="AD452" s="34"/>
      <c r="AE452" s="33">
        <f t="shared" si="6"/>
        <v>167288</v>
      </c>
    </row>
    <row r="453" spans="1:31" ht="12.75" customHeight="1">
      <c r="A453" s="1" t="s">
        <v>336</v>
      </c>
      <c r="C453" s="1" t="s">
        <v>112</v>
      </c>
      <c r="E453" s="34">
        <v>1805075</v>
      </c>
      <c r="F453" s="34"/>
      <c r="G453" s="34">
        <v>0</v>
      </c>
      <c r="H453" s="34"/>
      <c r="I453" s="34">
        <v>0</v>
      </c>
      <c r="J453" s="34"/>
      <c r="K453" s="34">
        <v>226318</v>
      </c>
      <c r="L453" s="34"/>
      <c r="M453" s="34">
        <v>113540</v>
      </c>
      <c r="N453" s="34"/>
      <c r="O453" s="34">
        <v>526127</v>
      </c>
      <c r="P453" s="34"/>
      <c r="Q453" s="34">
        <v>747784</v>
      </c>
      <c r="R453" s="34"/>
      <c r="S453" s="34">
        <v>0</v>
      </c>
      <c r="T453" s="34"/>
      <c r="U453" s="34">
        <v>0</v>
      </c>
      <c r="V453" s="34"/>
      <c r="W453" s="34">
        <v>0</v>
      </c>
      <c r="X453" s="34"/>
      <c r="Y453" s="34">
        <v>210000</v>
      </c>
      <c r="Z453" s="34"/>
      <c r="AA453" s="34">
        <v>0</v>
      </c>
      <c r="AB453" s="32"/>
      <c r="AC453" s="34">
        <v>0</v>
      </c>
      <c r="AD453" s="34"/>
      <c r="AE453" s="33">
        <f t="shared" si="6"/>
        <v>3628844</v>
      </c>
    </row>
    <row r="454" spans="1:31" ht="12.75" customHeight="1">
      <c r="A454" s="1" t="s">
        <v>735</v>
      </c>
      <c r="C454" s="1" t="s">
        <v>276</v>
      </c>
      <c r="E454" s="34">
        <v>13</v>
      </c>
      <c r="F454" s="34"/>
      <c r="G454" s="34">
        <v>293</v>
      </c>
      <c r="H454" s="34"/>
      <c r="I454" s="34">
        <v>0</v>
      </c>
      <c r="J454" s="34"/>
      <c r="K454" s="34">
        <v>0</v>
      </c>
      <c r="L454" s="34"/>
      <c r="M454" s="34">
        <v>0</v>
      </c>
      <c r="N454" s="34"/>
      <c r="O454" s="34">
        <v>0</v>
      </c>
      <c r="P454" s="34"/>
      <c r="Q454" s="34">
        <v>18781</v>
      </c>
      <c r="R454" s="34"/>
      <c r="S454" s="34">
        <v>0</v>
      </c>
      <c r="T454" s="34"/>
      <c r="U454" s="34">
        <v>0</v>
      </c>
      <c r="V454" s="34"/>
      <c r="W454" s="34">
        <v>0</v>
      </c>
      <c r="X454" s="34"/>
      <c r="Y454" s="34">
        <v>0</v>
      </c>
      <c r="Z454" s="32"/>
      <c r="AA454" s="34">
        <v>0</v>
      </c>
      <c r="AB454" s="34"/>
      <c r="AC454" s="34">
        <v>0</v>
      </c>
      <c r="AD454" s="34"/>
      <c r="AE454" s="33">
        <f t="shared" si="6"/>
        <v>19087</v>
      </c>
    </row>
    <row r="455" spans="1:31" ht="12.75" customHeight="1">
      <c r="A455" s="1" t="s">
        <v>687</v>
      </c>
      <c r="C455" s="1" t="s">
        <v>184</v>
      </c>
      <c r="E455" s="34">
        <v>5823</v>
      </c>
      <c r="F455" s="34"/>
      <c r="G455" s="34">
        <v>0</v>
      </c>
      <c r="H455" s="34"/>
      <c r="I455" s="34">
        <v>0</v>
      </c>
      <c r="J455" s="34"/>
      <c r="K455" s="34">
        <v>0</v>
      </c>
      <c r="L455" s="34"/>
      <c r="M455" s="34">
        <v>277</v>
      </c>
      <c r="N455" s="34"/>
      <c r="O455" s="34">
        <v>0</v>
      </c>
      <c r="P455" s="34"/>
      <c r="Q455" s="34">
        <v>23819</v>
      </c>
      <c r="R455" s="34"/>
      <c r="S455" s="34">
        <v>0</v>
      </c>
      <c r="T455" s="34"/>
      <c r="U455" s="34">
        <v>0</v>
      </c>
      <c r="V455" s="34"/>
      <c r="W455" s="34">
        <v>0</v>
      </c>
      <c r="X455" s="34"/>
      <c r="Y455" s="34">
        <v>0</v>
      </c>
      <c r="Z455" s="32"/>
      <c r="AA455" s="34">
        <v>0</v>
      </c>
      <c r="AB455" s="34"/>
      <c r="AC455" s="34">
        <v>0</v>
      </c>
      <c r="AD455" s="34"/>
      <c r="AE455" s="33">
        <f t="shared" si="6"/>
        <v>29919</v>
      </c>
    </row>
    <row r="456" spans="1:31" ht="12.75" customHeight="1">
      <c r="A456" s="1" t="s">
        <v>440</v>
      </c>
      <c r="C456" s="1" t="s">
        <v>76</v>
      </c>
      <c r="E456" s="34">
        <v>351614</v>
      </c>
      <c r="F456" s="34"/>
      <c r="G456" s="34">
        <v>12437</v>
      </c>
      <c r="H456" s="34"/>
      <c r="I456" s="34">
        <v>6896</v>
      </c>
      <c r="J456" s="34"/>
      <c r="K456" s="34">
        <v>1641</v>
      </c>
      <c r="L456" s="34"/>
      <c r="M456" s="34">
        <v>0</v>
      </c>
      <c r="N456" s="34"/>
      <c r="O456" s="34">
        <v>0</v>
      </c>
      <c r="P456" s="34"/>
      <c r="Q456" s="34">
        <v>645066</v>
      </c>
      <c r="R456" s="34"/>
      <c r="S456" s="34">
        <v>0</v>
      </c>
      <c r="T456" s="34"/>
      <c r="U456" s="34">
        <v>0</v>
      </c>
      <c r="V456" s="34"/>
      <c r="W456" s="34">
        <v>0</v>
      </c>
      <c r="X456" s="34"/>
      <c r="Y456" s="34">
        <v>18000</v>
      </c>
      <c r="Z456" s="32"/>
      <c r="AA456" s="34">
        <v>0</v>
      </c>
      <c r="AB456" s="34"/>
      <c r="AC456" s="34">
        <v>0</v>
      </c>
      <c r="AD456" s="34"/>
      <c r="AE456" s="33">
        <f t="shared" si="6"/>
        <v>1035654</v>
      </c>
    </row>
    <row r="457" spans="1:31" ht="12.75" customHeight="1">
      <c r="A457" s="1" t="s">
        <v>337</v>
      </c>
      <c r="C457" s="1" t="s">
        <v>78</v>
      </c>
      <c r="E457" s="34">
        <v>5794</v>
      </c>
      <c r="F457" s="34"/>
      <c r="G457" s="34">
        <v>1620</v>
      </c>
      <c r="H457" s="34"/>
      <c r="I457" s="34">
        <v>2764</v>
      </c>
      <c r="J457" s="34"/>
      <c r="K457" s="34">
        <v>0</v>
      </c>
      <c r="L457" s="34"/>
      <c r="M457" s="34">
        <v>1888</v>
      </c>
      <c r="N457" s="34"/>
      <c r="O457" s="34">
        <v>0</v>
      </c>
      <c r="P457" s="34"/>
      <c r="Q457" s="34">
        <v>14953</v>
      </c>
      <c r="R457" s="34"/>
      <c r="S457" s="34">
        <v>0</v>
      </c>
      <c r="T457" s="34"/>
      <c r="U457" s="34">
        <v>0</v>
      </c>
      <c r="V457" s="34"/>
      <c r="W457" s="34">
        <v>0</v>
      </c>
      <c r="X457" s="34"/>
      <c r="Y457" s="34">
        <v>0</v>
      </c>
      <c r="Z457" s="34"/>
      <c r="AA457" s="34">
        <v>0</v>
      </c>
      <c r="AB457" s="32"/>
      <c r="AC457" s="34">
        <v>0</v>
      </c>
      <c r="AD457" s="34"/>
      <c r="AE457" s="33">
        <f t="shared" si="6"/>
        <v>27019</v>
      </c>
    </row>
    <row r="458" spans="1:31" ht="12.75" customHeight="1">
      <c r="A458" s="1" t="s">
        <v>338</v>
      </c>
      <c r="C458" s="1" t="s">
        <v>90</v>
      </c>
      <c r="E458" s="34">
        <v>5432</v>
      </c>
      <c r="F458" s="34"/>
      <c r="G458" s="34">
        <v>503</v>
      </c>
      <c r="H458" s="34"/>
      <c r="I458" s="34">
        <v>0</v>
      </c>
      <c r="J458" s="34"/>
      <c r="K458" s="34">
        <v>37304</v>
      </c>
      <c r="L458" s="34"/>
      <c r="M458" s="34">
        <v>0</v>
      </c>
      <c r="N458" s="34"/>
      <c r="O458" s="34">
        <v>0</v>
      </c>
      <c r="P458" s="34"/>
      <c r="Q458" s="34">
        <v>19835</v>
      </c>
      <c r="R458" s="34"/>
      <c r="S458" s="34">
        <v>0</v>
      </c>
      <c r="T458" s="34"/>
      <c r="U458" s="34">
        <v>0</v>
      </c>
      <c r="V458" s="34"/>
      <c r="W458" s="34">
        <v>0</v>
      </c>
      <c r="X458" s="34"/>
      <c r="Y458" s="34">
        <v>0</v>
      </c>
      <c r="Z458" s="34"/>
      <c r="AA458" s="34">
        <v>0</v>
      </c>
      <c r="AB458" s="32"/>
      <c r="AC458" s="34">
        <v>0</v>
      </c>
      <c r="AD458" s="34"/>
      <c r="AE458" s="33">
        <f t="shared" si="6"/>
        <v>63074</v>
      </c>
    </row>
    <row r="459" spans="1:31" ht="12.75" customHeight="1">
      <c r="A459" s="1" t="s">
        <v>215</v>
      </c>
      <c r="C459" s="1" t="s">
        <v>110</v>
      </c>
      <c r="E459" s="34">
        <v>493200</v>
      </c>
      <c r="F459" s="34"/>
      <c r="G459" s="34">
        <v>0</v>
      </c>
      <c r="H459" s="34"/>
      <c r="I459" s="34">
        <v>117040</v>
      </c>
      <c r="J459" s="34"/>
      <c r="K459" s="34">
        <v>14385</v>
      </c>
      <c r="L459" s="34"/>
      <c r="M459" s="34">
        <v>0</v>
      </c>
      <c r="N459" s="34"/>
      <c r="O459" s="34">
        <v>136</v>
      </c>
      <c r="P459" s="34"/>
      <c r="Q459" s="34">
        <v>183247</v>
      </c>
      <c r="R459" s="34"/>
      <c r="S459" s="34">
        <v>108441</v>
      </c>
      <c r="T459" s="34"/>
      <c r="U459" s="34">
        <v>0</v>
      </c>
      <c r="V459" s="34"/>
      <c r="W459" s="34">
        <v>0</v>
      </c>
      <c r="X459" s="34"/>
      <c r="Y459" s="34">
        <v>752289</v>
      </c>
      <c r="Z459" s="32"/>
      <c r="AA459" s="34">
        <v>0</v>
      </c>
      <c r="AB459" s="34"/>
      <c r="AC459" s="34">
        <v>0</v>
      </c>
      <c r="AD459" s="34"/>
      <c r="AE459" s="33">
        <f t="shared" si="6"/>
        <v>1668738</v>
      </c>
    </row>
    <row r="460" spans="1:31" ht="12.75" customHeight="1">
      <c r="A460" s="1" t="s">
        <v>339</v>
      </c>
      <c r="C460" s="1" t="s">
        <v>250</v>
      </c>
      <c r="E460" s="34">
        <v>2112632</v>
      </c>
      <c r="F460" s="34"/>
      <c r="G460" s="34">
        <v>30666</v>
      </c>
      <c r="H460" s="34"/>
      <c r="I460" s="34">
        <v>205706</v>
      </c>
      <c r="J460" s="34"/>
      <c r="K460" s="34">
        <v>0</v>
      </c>
      <c r="L460" s="34"/>
      <c r="M460" s="34">
        <v>317182</v>
      </c>
      <c r="N460" s="34"/>
      <c r="O460" s="34">
        <v>308696</v>
      </c>
      <c r="P460" s="34"/>
      <c r="Q460" s="34">
        <v>519839</v>
      </c>
      <c r="R460" s="34"/>
      <c r="S460" s="34">
        <v>51165</v>
      </c>
      <c r="T460" s="34"/>
      <c r="U460" s="34">
        <v>0</v>
      </c>
      <c r="V460" s="34"/>
      <c r="W460" s="34">
        <v>0</v>
      </c>
      <c r="X460" s="34"/>
      <c r="Y460" s="34">
        <v>0</v>
      </c>
      <c r="Z460" s="34"/>
      <c r="AA460" s="34">
        <v>0</v>
      </c>
      <c r="AB460" s="32"/>
      <c r="AC460" s="34">
        <v>8578</v>
      </c>
      <c r="AD460" s="34"/>
      <c r="AE460" s="33">
        <f t="shared" si="6"/>
        <v>3554464</v>
      </c>
    </row>
    <row r="461" spans="1:31" ht="12.75" customHeight="1">
      <c r="A461" s="1" t="s">
        <v>708</v>
      </c>
      <c r="C461" s="1" t="s">
        <v>110</v>
      </c>
      <c r="E461" s="34">
        <v>95483</v>
      </c>
      <c r="F461" s="34"/>
      <c r="G461" s="34">
        <v>480</v>
      </c>
      <c r="H461" s="34"/>
      <c r="I461" s="34">
        <v>0</v>
      </c>
      <c r="J461" s="34"/>
      <c r="K461" s="34">
        <v>0</v>
      </c>
      <c r="L461" s="34"/>
      <c r="M461" s="34">
        <v>27425</v>
      </c>
      <c r="N461" s="34"/>
      <c r="O461" s="34">
        <v>72393</v>
      </c>
      <c r="P461" s="34"/>
      <c r="Q461" s="34">
        <v>117458</v>
      </c>
      <c r="R461" s="34"/>
      <c r="S461" s="34">
        <v>0</v>
      </c>
      <c r="T461" s="34"/>
      <c r="U461" s="34">
        <v>0</v>
      </c>
      <c r="V461" s="34"/>
      <c r="W461" s="34">
        <v>0</v>
      </c>
      <c r="X461" s="34"/>
      <c r="Y461" s="34">
        <v>340000</v>
      </c>
      <c r="Z461" s="32"/>
      <c r="AA461" s="34">
        <v>0</v>
      </c>
      <c r="AB461" s="34"/>
      <c r="AC461" s="34">
        <v>0</v>
      </c>
      <c r="AD461" s="34"/>
      <c r="AE461" s="33">
        <f t="shared" si="6"/>
        <v>653239</v>
      </c>
    </row>
    <row r="462" spans="1:31" ht="12.75" customHeight="1">
      <c r="A462" s="1" t="s">
        <v>720</v>
      </c>
      <c r="C462" s="1" t="s">
        <v>318</v>
      </c>
      <c r="E462" s="34">
        <v>0</v>
      </c>
      <c r="F462" s="34"/>
      <c r="G462" s="34">
        <v>0</v>
      </c>
      <c r="H462" s="34"/>
      <c r="I462" s="34">
        <v>0</v>
      </c>
      <c r="J462" s="34"/>
      <c r="K462" s="34">
        <v>0</v>
      </c>
      <c r="L462" s="34"/>
      <c r="M462" s="34">
        <v>266</v>
      </c>
      <c r="N462" s="34"/>
      <c r="O462" s="34">
        <v>0</v>
      </c>
      <c r="P462" s="34"/>
      <c r="Q462" s="34">
        <v>9539</v>
      </c>
      <c r="R462" s="34"/>
      <c r="S462" s="34">
        <v>0</v>
      </c>
      <c r="T462" s="34"/>
      <c r="U462" s="34">
        <v>0</v>
      </c>
      <c r="V462" s="34"/>
      <c r="W462" s="34">
        <v>0</v>
      </c>
      <c r="X462" s="34"/>
      <c r="Y462" s="34">
        <v>0</v>
      </c>
      <c r="Z462" s="32"/>
      <c r="AA462" s="34">
        <v>0</v>
      </c>
      <c r="AB462" s="34"/>
      <c r="AC462" s="34">
        <v>0</v>
      </c>
      <c r="AD462" s="34"/>
      <c r="AE462" s="33">
        <f t="shared" si="6"/>
        <v>9805</v>
      </c>
    </row>
    <row r="463" spans="1:31" ht="12.75" customHeight="1">
      <c r="A463" s="1" t="s">
        <v>497</v>
      </c>
      <c r="C463" s="1" t="s">
        <v>102</v>
      </c>
      <c r="E463" s="34">
        <v>83160</v>
      </c>
      <c r="F463" s="34"/>
      <c r="G463" s="34">
        <v>2658</v>
      </c>
      <c r="H463" s="34"/>
      <c r="I463" s="34">
        <v>6322</v>
      </c>
      <c r="J463" s="34"/>
      <c r="K463" s="34">
        <v>0</v>
      </c>
      <c r="L463" s="34"/>
      <c r="M463" s="34">
        <v>0</v>
      </c>
      <c r="N463" s="34"/>
      <c r="O463" s="34">
        <v>0</v>
      </c>
      <c r="P463" s="34"/>
      <c r="Q463" s="34">
        <v>148112</v>
      </c>
      <c r="R463" s="34"/>
      <c r="S463" s="34">
        <v>0</v>
      </c>
      <c r="T463" s="34"/>
      <c r="U463" s="34">
        <v>0</v>
      </c>
      <c r="V463" s="34"/>
      <c r="W463" s="34">
        <v>0</v>
      </c>
      <c r="X463" s="34"/>
      <c r="Y463" s="34">
        <v>0</v>
      </c>
      <c r="Z463" s="32"/>
      <c r="AA463" s="34">
        <v>0</v>
      </c>
      <c r="AB463" s="34"/>
      <c r="AC463" s="34">
        <v>1830</v>
      </c>
      <c r="AD463" s="34"/>
      <c r="AE463" s="33">
        <f t="shared" si="6"/>
        <v>242082</v>
      </c>
    </row>
    <row r="464" spans="1:31" ht="12.75" customHeight="1">
      <c r="A464" s="1" t="s">
        <v>340</v>
      </c>
      <c r="C464" s="1" t="s">
        <v>78</v>
      </c>
      <c r="E464" s="34">
        <v>8013</v>
      </c>
      <c r="F464" s="34"/>
      <c r="G464" s="34">
        <v>0</v>
      </c>
      <c r="H464" s="34"/>
      <c r="I464" s="34">
        <v>2939</v>
      </c>
      <c r="J464" s="34"/>
      <c r="K464" s="34">
        <v>0</v>
      </c>
      <c r="L464" s="34"/>
      <c r="M464" s="34">
        <v>0</v>
      </c>
      <c r="N464" s="34"/>
      <c r="O464" s="34">
        <v>12016</v>
      </c>
      <c r="P464" s="34"/>
      <c r="Q464" s="34">
        <v>16058</v>
      </c>
      <c r="R464" s="34"/>
      <c r="S464" s="34">
        <v>0</v>
      </c>
      <c r="T464" s="34"/>
      <c r="U464" s="34">
        <v>0</v>
      </c>
      <c r="V464" s="34"/>
      <c r="W464" s="34">
        <v>0</v>
      </c>
      <c r="X464" s="34"/>
      <c r="Y464" s="34">
        <v>0</v>
      </c>
      <c r="Z464" s="34"/>
      <c r="AA464" s="34">
        <v>0</v>
      </c>
      <c r="AB464" s="32"/>
      <c r="AC464" s="34">
        <v>0</v>
      </c>
      <c r="AD464" s="34"/>
      <c r="AE464" s="33">
        <f aca="true" t="shared" si="7" ref="AE464:AE528">SUM(E464:AC464)</f>
        <v>39026</v>
      </c>
    </row>
    <row r="465" spans="1:31" ht="12.75" customHeight="1">
      <c r="A465" s="1" t="s">
        <v>341</v>
      </c>
      <c r="C465" s="1" t="s">
        <v>110</v>
      </c>
      <c r="E465" s="34">
        <v>157787</v>
      </c>
      <c r="F465" s="34"/>
      <c r="G465" s="34">
        <v>1769</v>
      </c>
      <c r="H465" s="34"/>
      <c r="I465" s="34">
        <v>0</v>
      </c>
      <c r="J465" s="34"/>
      <c r="K465" s="34">
        <v>0</v>
      </c>
      <c r="L465" s="34"/>
      <c r="M465" s="34">
        <v>36488</v>
      </c>
      <c r="N465" s="34"/>
      <c r="O465" s="34">
        <v>4135</v>
      </c>
      <c r="P465" s="34"/>
      <c r="Q465" s="34">
        <v>85264</v>
      </c>
      <c r="R465" s="34"/>
      <c r="S465" s="34">
        <v>0</v>
      </c>
      <c r="T465" s="34"/>
      <c r="U465" s="34">
        <v>0</v>
      </c>
      <c r="V465" s="34"/>
      <c r="W465" s="34">
        <v>0</v>
      </c>
      <c r="X465" s="34"/>
      <c r="Y465" s="34">
        <v>20000</v>
      </c>
      <c r="Z465" s="34"/>
      <c r="AA465" s="34">
        <v>0</v>
      </c>
      <c r="AB465" s="32"/>
      <c r="AC465" s="34">
        <v>0</v>
      </c>
      <c r="AD465" s="34"/>
      <c r="AE465" s="33">
        <f t="shared" si="7"/>
        <v>305443</v>
      </c>
    </row>
    <row r="466" spans="1:31" ht="12.75" customHeight="1">
      <c r="A466" s="1" t="s">
        <v>342</v>
      </c>
      <c r="C466" s="1" t="s">
        <v>96</v>
      </c>
      <c r="E466" s="34">
        <v>2124</v>
      </c>
      <c r="F466" s="34"/>
      <c r="G466" s="34">
        <v>185</v>
      </c>
      <c r="H466" s="34"/>
      <c r="I466" s="34">
        <v>0</v>
      </c>
      <c r="J466" s="34"/>
      <c r="K466" s="34">
        <v>25</v>
      </c>
      <c r="L466" s="34"/>
      <c r="M466" s="34">
        <v>0</v>
      </c>
      <c r="N466" s="34"/>
      <c r="O466" s="34">
        <v>0</v>
      </c>
      <c r="P466" s="34"/>
      <c r="Q466" s="34">
        <v>9979</v>
      </c>
      <c r="R466" s="34"/>
      <c r="S466" s="34">
        <v>0</v>
      </c>
      <c r="T466" s="34"/>
      <c r="U466" s="34">
        <v>0</v>
      </c>
      <c r="V466" s="34"/>
      <c r="W466" s="34">
        <v>0</v>
      </c>
      <c r="X466" s="34"/>
      <c r="Y466" s="34">
        <v>0</v>
      </c>
      <c r="Z466" s="34"/>
      <c r="AA466" s="34">
        <v>0</v>
      </c>
      <c r="AB466" s="32"/>
      <c r="AC466" s="34">
        <v>0</v>
      </c>
      <c r="AD466" s="34"/>
      <c r="AE466" s="33">
        <f t="shared" si="7"/>
        <v>12313</v>
      </c>
    </row>
    <row r="467" spans="1:31" ht="12.75" customHeight="1">
      <c r="A467" s="1" t="s">
        <v>343</v>
      </c>
      <c r="C467" s="1" t="s">
        <v>65</v>
      </c>
      <c r="E467" s="34">
        <v>700</v>
      </c>
      <c r="F467" s="34"/>
      <c r="G467" s="34">
        <v>300</v>
      </c>
      <c r="H467" s="34"/>
      <c r="I467" s="34">
        <v>0</v>
      </c>
      <c r="J467" s="34"/>
      <c r="K467" s="34">
        <v>275</v>
      </c>
      <c r="L467" s="34"/>
      <c r="M467" s="34">
        <v>1915</v>
      </c>
      <c r="N467" s="34"/>
      <c r="O467" s="34">
        <v>0</v>
      </c>
      <c r="P467" s="34"/>
      <c r="Q467" s="34">
        <v>7340</v>
      </c>
      <c r="R467" s="34"/>
      <c r="S467" s="34">
        <v>0</v>
      </c>
      <c r="T467" s="34"/>
      <c r="U467" s="34">
        <v>0</v>
      </c>
      <c r="V467" s="34"/>
      <c r="W467" s="34">
        <v>0</v>
      </c>
      <c r="X467" s="34"/>
      <c r="Y467" s="34">
        <v>4000</v>
      </c>
      <c r="Z467" s="34"/>
      <c r="AA467" s="34">
        <v>0</v>
      </c>
      <c r="AB467" s="32"/>
      <c r="AC467" s="34">
        <v>0</v>
      </c>
      <c r="AD467" s="34"/>
      <c r="AE467" s="33">
        <f t="shared" si="7"/>
        <v>14530</v>
      </c>
    </row>
    <row r="468" spans="1:31" ht="12.75" customHeight="1">
      <c r="A468" s="1" t="s">
        <v>82</v>
      </c>
      <c r="C468" s="1" t="s">
        <v>82</v>
      </c>
      <c r="E468" s="34">
        <v>53602</v>
      </c>
      <c r="F468" s="34"/>
      <c r="G468" s="34">
        <v>10996</v>
      </c>
      <c r="H468" s="34"/>
      <c r="I468" s="34">
        <v>24305</v>
      </c>
      <c r="J468" s="34"/>
      <c r="K468" s="34">
        <v>7429</v>
      </c>
      <c r="L468" s="34"/>
      <c r="M468" s="34">
        <v>3524</v>
      </c>
      <c r="N468" s="34"/>
      <c r="O468" s="34">
        <v>6707</v>
      </c>
      <c r="P468" s="34"/>
      <c r="Q468" s="34">
        <v>190872</v>
      </c>
      <c r="R468" s="34"/>
      <c r="S468" s="34">
        <v>31960</v>
      </c>
      <c r="T468" s="34"/>
      <c r="U468" s="34">
        <v>0</v>
      </c>
      <c r="V468" s="34"/>
      <c r="W468" s="34">
        <v>0</v>
      </c>
      <c r="X468" s="34"/>
      <c r="Y468" s="34">
        <v>403170</v>
      </c>
      <c r="Z468" s="34"/>
      <c r="AA468" s="34">
        <v>0</v>
      </c>
      <c r="AB468" s="32"/>
      <c r="AC468" s="34">
        <v>0</v>
      </c>
      <c r="AD468" s="34"/>
      <c r="AE468" s="33">
        <f t="shared" si="7"/>
        <v>732565</v>
      </c>
    </row>
    <row r="469" spans="1:31" ht="12.75" customHeight="1">
      <c r="A469" s="1" t="s">
        <v>344</v>
      </c>
      <c r="C469" s="1" t="s">
        <v>82</v>
      </c>
      <c r="E469" s="34">
        <v>0</v>
      </c>
      <c r="F469" s="34"/>
      <c r="G469" s="34">
        <v>1969</v>
      </c>
      <c r="H469" s="34"/>
      <c r="I469" s="34">
        <v>9321</v>
      </c>
      <c r="J469" s="34"/>
      <c r="K469" s="34">
        <v>0</v>
      </c>
      <c r="L469" s="34"/>
      <c r="M469" s="34">
        <v>0</v>
      </c>
      <c r="N469" s="34"/>
      <c r="O469" s="34">
        <v>225</v>
      </c>
      <c r="P469" s="34"/>
      <c r="Q469" s="34">
        <v>111913</v>
      </c>
      <c r="R469" s="34"/>
      <c r="S469" s="34">
        <v>3395</v>
      </c>
      <c r="T469" s="34"/>
      <c r="U469" s="34">
        <v>0</v>
      </c>
      <c r="V469" s="34"/>
      <c r="W469" s="34">
        <v>0</v>
      </c>
      <c r="X469" s="34"/>
      <c r="Y469" s="34">
        <v>108600</v>
      </c>
      <c r="Z469" s="34"/>
      <c r="AA469" s="34">
        <v>0</v>
      </c>
      <c r="AB469" s="32"/>
      <c r="AC469" s="34">
        <v>0</v>
      </c>
      <c r="AD469" s="34"/>
      <c r="AE469" s="33">
        <f t="shared" si="7"/>
        <v>235423</v>
      </c>
    </row>
    <row r="470" spans="1:31" ht="12.75" customHeight="1">
      <c r="A470" s="1" t="s">
        <v>345</v>
      </c>
      <c r="C470" s="30" t="s">
        <v>346</v>
      </c>
      <c r="E470" s="34">
        <v>113989</v>
      </c>
      <c r="F470" s="34"/>
      <c r="G470" s="34">
        <v>0</v>
      </c>
      <c r="H470" s="34"/>
      <c r="I470" s="34">
        <v>1716</v>
      </c>
      <c r="J470" s="34"/>
      <c r="K470" s="34">
        <v>0</v>
      </c>
      <c r="L470" s="34"/>
      <c r="M470" s="34">
        <v>0</v>
      </c>
      <c r="N470" s="34"/>
      <c r="O470" s="34">
        <v>0</v>
      </c>
      <c r="P470" s="34"/>
      <c r="Q470" s="34">
        <v>113592</v>
      </c>
      <c r="R470" s="34"/>
      <c r="S470" s="34">
        <v>0</v>
      </c>
      <c r="T470" s="34"/>
      <c r="U470" s="34">
        <v>0</v>
      </c>
      <c r="V470" s="34"/>
      <c r="W470" s="34">
        <v>0</v>
      </c>
      <c r="X470" s="34"/>
      <c r="Y470" s="34">
        <v>0</v>
      </c>
      <c r="Z470" s="34"/>
      <c r="AA470" s="34">
        <v>0</v>
      </c>
      <c r="AB470" s="32"/>
      <c r="AC470" s="34">
        <v>1</v>
      </c>
      <c r="AD470" s="34"/>
      <c r="AE470" s="33">
        <f t="shared" si="7"/>
        <v>229298</v>
      </c>
    </row>
    <row r="471" spans="1:31" ht="12.75" customHeight="1">
      <c r="A471" s="1" t="s">
        <v>774</v>
      </c>
      <c r="C471" s="1" t="s">
        <v>94</v>
      </c>
      <c r="E471" s="34">
        <v>204683</v>
      </c>
      <c r="F471" s="34"/>
      <c r="G471" s="34">
        <v>1549</v>
      </c>
      <c r="H471" s="34"/>
      <c r="I471" s="34">
        <v>2438</v>
      </c>
      <c r="J471" s="34"/>
      <c r="K471" s="34">
        <v>0</v>
      </c>
      <c r="L471" s="34"/>
      <c r="M471" s="34">
        <v>3228</v>
      </c>
      <c r="N471" s="34"/>
      <c r="O471" s="34">
        <v>0</v>
      </c>
      <c r="P471" s="34"/>
      <c r="Q471" s="34">
        <v>157325</v>
      </c>
      <c r="R471" s="34"/>
      <c r="S471" s="34">
        <v>0</v>
      </c>
      <c r="T471" s="34"/>
      <c r="U471" s="34">
        <v>0</v>
      </c>
      <c r="V471" s="34"/>
      <c r="W471" s="34">
        <v>0</v>
      </c>
      <c r="X471" s="34"/>
      <c r="Y471" s="34">
        <v>69711</v>
      </c>
      <c r="Z471" s="32"/>
      <c r="AA471" s="34">
        <v>0</v>
      </c>
      <c r="AB471" s="34"/>
      <c r="AC471" s="34">
        <v>1650</v>
      </c>
      <c r="AD471" s="34"/>
      <c r="AE471" s="33">
        <f t="shared" si="7"/>
        <v>440584</v>
      </c>
    </row>
    <row r="472" spans="1:31" ht="12.75" customHeight="1">
      <c r="A472" s="1" t="s">
        <v>347</v>
      </c>
      <c r="C472" s="1" t="s">
        <v>129</v>
      </c>
      <c r="E472" s="34">
        <f>200438+19994+36332+22461+17832</f>
        <v>297057</v>
      </c>
      <c r="F472" s="34"/>
      <c r="G472" s="34">
        <v>6391</v>
      </c>
      <c r="H472" s="34"/>
      <c r="I472" s="34">
        <v>0</v>
      </c>
      <c r="J472" s="34"/>
      <c r="K472" s="34">
        <v>0</v>
      </c>
      <c r="L472" s="34"/>
      <c r="M472" s="34">
        <f>1929+1200+213+1035+11334+6069+1454+807</f>
        <v>24041</v>
      </c>
      <c r="N472" s="34"/>
      <c r="O472" s="34">
        <f>408</f>
        <v>408</v>
      </c>
      <c r="P472" s="34"/>
      <c r="Q472" s="34">
        <f>6839+2107+14488+149+4320+707+30+33657+12364+3971+764+38954+9465+11081+12380+4384+1482+399+18075+6633+32000+135+25+8181+227+3</f>
        <v>222820</v>
      </c>
      <c r="R472" s="34"/>
      <c r="S472" s="34">
        <v>0</v>
      </c>
      <c r="T472" s="34"/>
      <c r="U472" s="34">
        <v>0</v>
      </c>
      <c r="V472" s="34"/>
      <c r="W472" s="34">
        <v>0</v>
      </c>
      <c r="X472" s="34"/>
      <c r="Y472" s="34">
        <v>0</v>
      </c>
      <c r="Z472" s="34"/>
      <c r="AA472" s="34">
        <v>0</v>
      </c>
      <c r="AB472" s="32"/>
      <c r="AC472" s="34">
        <v>0</v>
      </c>
      <c r="AD472" s="34"/>
      <c r="AE472" s="33">
        <f t="shared" si="7"/>
        <v>550717</v>
      </c>
    </row>
    <row r="473" spans="1:31" ht="12.75" customHeight="1">
      <c r="A473" s="1" t="s">
        <v>348</v>
      </c>
      <c r="C473" s="1" t="s">
        <v>197</v>
      </c>
      <c r="E473" s="34">
        <v>284595</v>
      </c>
      <c r="F473" s="34"/>
      <c r="G473" s="34">
        <v>1444</v>
      </c>
      <c r="H473" s="34"/>
      <c r="I473" s="34">
        <v>0</v>
      </c>
      <c r="J473" s="34"/>
      <c r="K473" s="34">
        <v>0</v>
      </c>
      <c r="L473" s="34"/>
      <c r="M473" s="34">
        <v>0</v>
      </c>
      <c r="N473" s="34"/>
      <c r="O473" s="34">
        <v>73979</v>
      </c>
      <c r="P473" s="34"/>
      <c r="Q473" s="34">
        <f>104813+23381+10191+238100+199073</f>
        <v>575558</v>
      </c>
      <c r="R473" s="34"/>
      <c r="S473" s="34">
        <v>0</v>
      </c>
      <c r="T473" s="34"/>
      <c r="U473" s="34">
        <v>0</v>
      </c>
      <c r="V473" s="34"/>
      <c r="W473" s="34">
        <v>0</v>
      </c>
      <c r="X473" s="34"/>
      <c r="Y473" s="34">
        <v>12000</v>
      </c>
      <c r="Z473" s="34"/>
      <c r="AA473" s="34">
        <v>0</v>
      </c>
      <c r="AB473" s="32"/>
      <c r="AC473" s="34">
        <v>0</v>
      </c>
      <c r="AD473" s="34"/>
      <c r="AE473" s="33">
        <f t="shared" si="7"/>
        <v>947576</v>
      </c>
    </row>
    <row r="474" spans="1:31" ht="12.75" customHeight="1">
      <c r="A474" s="1" t="s">
        <v>349</v>
      </c>
      <c r="C474" s="30" t="s">
        <v>92</v>
      </c>
      <c r="E474" s="34">
        <v>67591</v>
      </c>
      <c r="F474" s="34"/>
      <c r="G474" s="34">
        <v>541</v>
      </c>
      <c r="H474" s="34"/>
      <c r="I474" s="34">
        <v>1071</v>
      </c>
      <c r="J474" s="34"/>
      <c r="K474" s="34">
        <v>201</v>
      </c>
      <c r="L474" s="34"/>
      <c r="M474" s="34">
        <v>0</v>
      </c>
      <c r="N474" s="34"/>
      <c r="O474" s="34">
        <v>3150</v>
      </c>
      <c r="P474" s="34"/>
      <c r="Q474" s="34">
        <v>116164</v>
      </c>
      <c r="R474" s="34"/>
      <c r="S474" s="34">
        <v>16514</v>
      </c>
      <c r="T474" s="34"/>
      <c r="U474" s="34">
        <v>27000</v>
      </c>
      <c r="V474" s="34"/>
      <c r="W474" s="34">
        <v>856</v>
      </c>
      <c r="X474" s="34"/>
      <c r="Y474" s="34">
        <v>0</v>
      </c>
      <c r="Z474" s="34"/>
      <c r="AA474" s="34">
        <v>0</v>
      </c>
      <c r="AB474" s="32"/>
      <c r="AC474" s="34">
        <v>0</v>
      </c>
      <c r="AD474" s="34"/>
      <c r="AE474" s="33">
        <f t="shared" si="7"/>
        <v>233088</v>
      </c>
    </row>
    <row r="475" spans="1:31" ht="12.75" customHeight="1">
      <c r="A475" s="1" t="s">
        <v>350</v>
      </c>
      <c r="C475" s="1" t="s">
        <v>217</v>
      </c>
      <c r="E475" s="34">
        <v>0</v>
      </c>
      <c r="F475" s="34"/>
      <c r="G475" s="34">
        <v>0</v>
      </c>
      <c r="H475" s="34"/>
      <c r="I475" s="34">
        <v>0</v>
      </c>
      <c r="J475" s="34"/>
      <c r="K475" s="34">
        <v>2566</v>
      </c>
      <c r="L475" s="34"/>
      <c r="M475" s="34">
        <v>0</v>
      </c>
      <c r="N475" s="34"/>
      <c r="O475" s="34">
        <v>26798</v>
      </c>
      <c r="P475" s="34"/>
      <c r="Q475" s="34">
        <v>93519</v>
      </c>
      <c r="R475" s="34"/>
      <c r="S475" s="34">
        <v>31408</v>
      </c>
      <c r="T475" s="34"/>
      <c r="U475" s="34">
        <v>0</v>
      </c>
      <c r="V475" s="34"/>
      <c r="W475" s="34">
        <v>0</v>
      </c>
      <c r="X475" s="34"/>
      <c r="Y475" s="34">
        <v>9057</v>
      </c>
      <c r="Z475" s="34"/>
      <c r="AA475" s="34">
        <v>0</v>
      </c>
      <c r="AB475" s="32"/>
      <c r="AC475" s="34">
        <v>10159</v>
      </c>
      <c r="AD475" s="34"/>
      <c r="AE475" s="33">
        <f t="shared" si="7"/>
        <v>173507</v>
      </c>
    </row>
    <row r="476" spans="1:31" ht="12.75" customHeight="1">
      <c r="A476" s="1" t="s">
        <v>351</v>
      </c>
      <c r="C476" s="1" t="s">
        <v>67</v>
      </c>
      <c r="E476" s="34">
        <v>6104</v>
      </c>
      <c r="F476" s="34"/>
      <c r="G476" s="34">
        <v>0</v>
      </c>
      <c r="H476" s="34"/>
      <c r="I476" s="34">
        <v>0</v>
      </c>
      <c r="J476" s="34"/>
      <c r="K476" s="34">
        <v>0</v>
      </c>
      <c r="L476" s="34"/>
      <c r="M476" s="34">
        <v>0</v>
      </c>
      <c r="N476" s="34"/>
      <c r="O476" s="34">
        <v>3567</v>
      </c>
      <c r="P476" s="34"/>
      <c r="Q476" s="34">
        <v>25506</v>
      </c>
      <c r="R476" s="34"/>
      <c r="S476" s="34">
        <v>0</v>
      </c>
      <c r="T476" s="34"/>
      <c r="U476" s="34">
        <v>0</v>
      </c>
      <c r="V476" s="34"/>
      <c r="W476" s="34">
        <v>0</v>
      </c>
      <c r="X476" s="34"/>
      <c r="Y476" s="34">
        <v>0</v>
      </c>
      <c r="Z476" s="34"/>
      <c r="AA476" s="34">
        <v>0</v>
      </c>
      <c r="AB476" s="32"/>
      <c r="AC476" s="34">
        <v>0</v>
      </c>
      <c r="AD476" s="34"/>
      <c r="AE476" s="33">
        <f t="shared" si="7"/>
        <v>35177</v>
      </c>
    </row>
    <row r="477" spans="1:31" ht="12.75" customHeight="1">
      <c r="A477" s="1" t="s">
        <v>352</v>
      </c>
      <c r="C477" s="1" t="s">
        <v>353</v>
      </c>
      <c r="E477" s="34">
        <v>17132</v>
      </c>
      <c r="F477" s="34"/>
      <c r="G477" s="34">
        <v>0</v>
      </c>
      <c r="H477" s="34"/>
      <c r="I477" s="34">
        <v>0</v>
      </c>
      <c r="J477" s="34"/>
      <c r="K477" s="34">
        <v>7478</v>
      </c>
      <c r="L477" s="34"/>
      <c r="M477" s="34">
        <v>0</v>
      </c>
      <c r="N477" s="34"/>
      <c r="O477" s="34">
        <v>30254</v>
      </c>
      <c r="P477" s="34"/>
      <c r="Q477" s="34">
        <v>132682</v>
      </c>
      <c r="R477" s="34"/>
      <c r="S477" s="34">
        <v>0</v>
      </c>
      <c r="T477" s="34"/>
      <c r="U477" s="34">
        <v>0</v>
      </c>
      <c r="V477" s="34"/>
      <c r="W477" s="34">
        <v>0</v>
      </c>
      <c r="X477" s="34"/>
      <c r="Y477" s="34">
        <v>0</v>
      </c>
      <c r="Z477" s="34"/>
      <c r="AA477" s="34">
        <v>0</v>
      </c>
      <c r="AB477" s="32"/>
      <c r="AC477" s="34">
        <v>0</v>
      </c>
      <c r="AD477" s="34"/>
      <c r="AE477" s="33">
        <f t="shared" si="7"/>
        <v>187546</v>
      </c>
    </row>
    <row r="478" spans="1:31" ht="12.75" customHeight="1">
      <c r="A478" s="1" t="s">
        <v>354</v>
      </c>
      <c r="C478" s="1" t="s">
        <v>190</v>
      </c>
      <c r="E478" s="34">
        <v>236714</v>
      </c>
      <c r="F478" s="34"/>
      <c r="G478" s="34">
        <v>7612</v>
      </c>
      <c r="H478" s="34"/>
      <c r="I478" s="34">
        <v>45079</v>
      </c>
      <c r="J478" s="34"/>
      <c r="K478" s="34">
        <v>4186</v>
      </c>
      <c r="L478" s="34"/>
      <c r="M478" s="34">
        <v>0</v>
      </c>
      <c r="N478" s="34"/>
      <c r="O478" s="34">
        <v>2345</v>
      </c>
      <c r="P478" s="34"/>
      <c r="Q478" s="34">
        <v>153109</v>
      </c>
      <c r="R478" s="34"/>
      <c r="S478" s="34">
        <v>99097</v>
      </c>
      <c r="T478" s="34"/>
      <c r="U478" s="34">
        <v>0</v>
      </c>
      <c r="V478" s="34"/>
      <c r="W478" s="34">
        <v>0</v>
      </c>
      <c r="X478" s="34"/>
      <c r="Y478" s="34">
        <v>63789</v>
      </c>
      <c r="Z478" s="34"/>
      <c r="AA478" s="34">
        <v>0</v>
      </c>
      <c r="AB478" s="32"/>
      <c r="AC478" s="34">
        <v>0</v>
      </c>
      <c r="AD478" s="34"/>
      <c r="AE478" s="33">
        <f t="shared" si="7"/>
        <v>611931</v>
      </c>
    </row>
    <row r="479" spans="1:31" ht="12.75" customHeight="1">
      <c r="A479" s="1" t="s">
        <v>523</v>
      </c>
      <c r="C479" s="1" t="s">
        <v>78</v>
      </c>
      <c r="E479" s="34">
        <v>14156</v>
      </c>
      <c r="F479" s="34"/>
      <c r="G479" s="34">
        <v>1462</v>
      </c>
      <c r="H479" s="34"/>
      <c r="I479" s="34">
        <v>5178</v>
      </c>
      <c r="J479" s="34"/>
      <c r="K479" s="34">
        <v>0</v>
      </c>
      <c r="L479" s="34"/>
      <c r="M479" s="34">
        <v>0</v>
      </c>
      <c r="N479" s="34"/>
      <c r="O479" s="34">
        <v>0</v>
      </c>
      <c r="P479" s="34"/>
      <c r="Q479" s="34">
        <v>50984</v>
      </c>
      <c r="R479" s="34"/>
      <c r="S479" s="34">
        <v>0</v>
      </c>
      <c r="T479" s="34"/>
      <c r="U479" s="34">
        <v>0</v>
      </c>
      <c r="V479" s="34"/>
      <c r="W479" s="34">
        <v>0</v>
      </c>
      <c r="X479" s="34"/>
      <c r="Y479" s="34">
        <v>6200</v>
      </c>
      <c r="Z479" s="32"/>
      <c r="AA479" s="34">
        <v>0</v>
      </c>
      <c r="AB479" s="34"/>
      <c r="AC479" s="34">
        <v>0</v>
      </c>
      <c r="AD479" s="34"/>
      <c r="AE479" s="33">
        <f t="shared" si="7"/>
        <v>77980</v>
      </c>
    </row>
    <row r="480" spans="1:31" ht="12.75" customHeight="1">
      <c r="A480" s="1" t="s">
        <v>355</v>
      </c>
      <c r="C480" s="1" t="s">
        <v>293</v>
      </c>
      <c r="E480" s="34">
        <v>583228</v>
      </c>
      <c r="F480" s="34"/>
      <c r="G480" s="34">
        <v>0</v>
      </c>
      <c r="H480" s="34"/>
      <c r="I480" s="34">
        <v>20466</v>
      </c>
      <c r="J480" s="34"/>
      <c r="K480" s="34">
        <v>34503</v>
      </c>
      <c r="L480" s="34"/>
      <c r="M480" s="34">
        <v>155030</v>
      </c>
      <c r="N480" s="34"/>
      <c r="O480" s="34">
        <v>0</v>
      </c>
      <c r="P480" s="34"/>
      <c r="Q480" s="34">
        <v>562822</v>
      </c>
      <c r="R480" s="34"/>
      <c r="S480" s="34">
        <v>72302</v>
      </c>
      <c r="T480" s="34"/>
      <c r="U480" s="34">
        <v>0</v>
      </c>
      <c r="V480" s="34"/>
      <c r="W480" s="34">
        <v>0</v>
      </c>
      <c r="X480" s="34"/>
      <c r="Y480" s="34">
        <v>0</v>
      </c>
      <c r="Z480" s="34"/>
      <c r="AA480" s="34">
        <v>0</v>
      </c>
      <c r="AB480" s="32"/>
      <c r="AC480" s="34">
        <v>0</v>
      </c>
      <c r="AD480" s="34"/>
      <c r="AE480" s="33">
        <f t="shared" si="7"/>
        <v>1428351</v>
      </c>
    </row>
    <row r="481" spans="1:31" ht="12.75" customHeight="1">
      <c r="A481" s="1" t="s">
        <v>356</v>
      </c>
      <c r="C481" s="1" t="s">
        <v>170</v>
      </c>
      <c r="E481" s="34">
        <v>1898</v>
      </c>
      <c r="F481" s="34"/>
      <c r="G481" s="34">
        <v>0</v>
      </c>
      <c r="H481" s="34"/>
      <c r="I481" s="34">
        <v>6016</v>
      </c>
      <c r="J481" s="34"/>
      <c r="K481" s="34">
        <v>0</v>
      </c>
      <c r="L481" s="34"/>
      <c r="M481" s="34">
        <v>0</v>
      </c>
      <c r="N481" s="34"/>
      <c r="O481" s="34">
        <v>0</v>
      </c>
      <c r="P481" s="34"/>
      <c r="Q481" s="34">
        <v>5864</v>
      </c>
      <c r="R481" s="34"/>
      <c r="S481" s="34">
        <v>0</v>
      </c>
      <c r="T481" s="34"/>
      <c r="U481" s="34">
        <v>0</v>
      </c>
      <c r="V481" s="34"/>
      <c r="W481" s="34">
        <v>0</v>
      </c>
      <c r="X481" s="34"/>
      <c r="Y481" s="34">
        <v>0</v>
      </c>
      <c r="Z481" s="34"/>
      <c r="AA481" s="34">
        <v>0</v>
      </c>
      <c r="AB481" s="32"/>
      <c r="AC481" s="34">
        <v>0</v>
      </c>
      <c r="AD481" s="34"/>
      <c r="AE481" s="33">
        <f t="shared" si="7"/>
        <v>13778</v>
      </c>
    </row>
    <row r="482" spans="1:31" ht="12.75" customHeight="1">
      <c r="A482" s="1" t="s">
        <v>441</v>
      </c>
      <c r="C482" s="1" t="s">
        <v>199</v>
      </c>
      <c r="E482" s="34">
        <v>15285</v>
      </c>
      <c r="F482" s="34"/>
      <c r="G482" s="34">
        <v>14390</v>
      </c>
      <c r="H482" s="34"/>
      <c r="I482" s="34">
        <v>0</v>
      </c>
      <c r="J482" s="34"/>
      <c r="K482" s="34">
        <v>0</v>
      </c>
      <c r="L482" s="34"/>
      <c r="M482" s="34">
        <v>3079</v>
      </c>
      <c r="N482" s="34"/>
      <c r="O482" s="34">
        <v>389</v>
      </c>
      <c r="P482" s="34"/>
      <c r="Q482" s="34">
        <v>25654</v>
      </c>
      <c r="R482" s="34"/>
      <c r="S482" s="34">
        <v>863</v>
      </c>
      <c r="T482" s="34"/>
      <c r="U482" s="34">
        <v>0</v>
      </c>
      <c r="V482" s="34"/>
      <c r="W482" s="34">
        <v>0</v>
      </c>
      <c r="X482" s="34"/>
      <c r="Y482" s="34">
        <v>0</v>
      </c>
      <c r="Z482" s="32"/>
      <c r="AA482" s="34">
        <v>7500</v>
      </c>
      <c r="AB482" s="34"/>
      <c r="AC482" s="34">
        <v>0</v>
      </c>
      <c r="AD482" s="34"/>
      <c r="AE482" s="33">
        <f t="shared" si="7"/>
        <v>67160</v>
      </c>
    </row>
    <row r="483" spans="1:31" ht="12.75" customHeight="1">
      <c r="A483" s="1" t="s">
        <v>656</v>
      </c>
      <c r="C483" s="1" t="s">
        <v>155</v>
      </c>
      <c r="E483" s="34">
        <v>52254</v>
      </c>
      <c r="F483" s="34"/>
      <c r="G483" s="34">
        <v>0</v>
      </c>
      <c r="H483" s="34"/>
      <c r="I483" s="34">
        <v>4035</v>
      </c>
      <c r="J483" s="34"/>
      <c r="K483" s="34">
        <v>0</v>
      </c>
      <c r="L483" s="34"/>
      <c r="M483" s="34">
        <v>0</v>
      </c>
      <c r="N483" s="34"/>
      <c r="O483" s="34">
        <v>1000</v>
      </c>
      <c r="P483" s="34"/>
      <c r="Q483" s="34">
        <v>102214</v>
      </c>
      <c r="R483" s="34"/>
      <c r="S483" s="34">
        <v>7700</v>
      </c>
      <c r="T483" s="34"/>
      <c r="U483" s="34">
        <v>0</v>
      </c>
      <c r="V483" s="34"/>
      <c r="W483" s="34">
        <v>0</v>
      </c>
      <c r="X483" s="34"/>
      <c r="Y483" s="34">
        <v>0</v>
      </c>
      <c r="Z483" s="32"/>
      <c r="AA483" s="34">
        <v>600</v>
      </c>
      <c r="AB483" s="34"/>
      <c r="AC483" s="34">
        <v>0</v>
      </c>
      <c r="AD483" s="34"/>
      <c r="AE483" s="33">
        <f t="shared" si="7"/>
        <v>167803</v>
      </c>
    </row>
    <row r="484" spans="1:31" ht="12.75" customHeight="1">
      <c r="A484" s="1" t="s">
        <v>755</v>
      </c>
      <c r="C484" s="1" t="s">
        <v>172</v>
      </c>
      <c r="E484" s="34">
        <v>1447</v>
      </c>
      <c r="F484" s="34"/>
      <c r="G484" s="34">
        <v>51</v>
      </c>
      <c r="H484" s="34"/>
      <c r="I484" s="34">
        <v>0</v>
      </c>
      <c r="J484" s="34"/>
      <c r="K484" s="34">
        <v>0</v>
      </c>
      <c r="L484" s="34"/>
      <c r="M484" s="34">
        <v>1087</v>
      </c>
      <c r="N484" s="34"/>
      <c r="O484" s="34">
        <v>0</v>
      </c>
      <c r="P484" s="34"/>
      <c r="Q484" s="34">
        <v>9903</v>
      </c>
      <c r="R484" s="34"/>
      <c r="S484" s="34">
        <v>0</v>
      </c>
      <c r="T484" s="34"/>
      <c r="U484" s="34">
        <v>0</v>
      </c>
      <c r="V484" s="34"/>
      <c r="W484" s="34">
        <v>0</v>
      </c>
      <c r="X484" s="34"/>
      <c r="Y484" s="34">
        <v>0</v>
      </c>
      <c r="Z484" s="32"/>
      <c r="AA484" s="34">
        <v>0</v>
      </c>
      <c r="AB484" s="34"/>
      <c r="AC484" s="34">
        <v>0</v>
      </c>
      <c r="AD484" s="34"/>
      <c r="AE484" s="33">
        <f t="shared" si="7"/>
        <v>12488</v>
      </c>
    </row>
    <row r="485" spans="1:31" ht="12.75" customHeight="1">
      <c r="A485" s="1" t="s">
        <v>533</v>
      </c>
      <c r="C485" s="1" t="s">
        <v>98</v>
      </c>
      <c r="E485" s="34">
        <v>4746</v>
      </c>
      <c r="F485" s="34"/>
      <c r="G485" s="34">
        <v>2101</v>
      </c>
      <c r="H485" s="34"/>
      <c r="I485" s="34">
        <v>0</v>
      </c>
      <c r="J485" s="34"/>
      <c r="K485" s="34">
        <v>1699</v>
      </c>
      <c r="L485" s="34"/>
      <c r="M485" s="34">
        <v>0</v>
      </c>
      <c r="N485" s="34"/>
      <c r="O485" s="34">
        <v>0</v>
      </c>
      <c r="P485" s="34"/>
      <c r="Q485" s="34">
        <v>39736</v>
      </c>
      <c r="R485" s="34"/>
      <c r="S485" s="34">
        <v>0</v>
      </c>
      <c r="T485" s="34"/>
      <c r="U485" s="34">
        <v>0</v>
      </c>
      <c r="V485" s="34"/>
      <c r="W485" s="34">
        <v>0</v>
      </c>
      <c r="X485" s="34"/>
      <c r="Y485" s="34">
        <v>11507</v>
      </c>
      <c r="Z485" s="32"/>
      <c r="AA485" s="34">
        <v>0</v>
      </c>
      <c r="AB485" s="34"/>
      <c r="AC485" s="34">
        <v>0</v>
      </c>
      <c r="AD485" s="34"/>
      <c r="AE485" s="33">
        <f t="shared" si="7"/>
        <v>59789</v>
      </c>
    </row>
    <row r="486" spans="1:31" ht="12.75" customHeight="1">
      <c r="A486" s="1" t="s">
        <v>710</v>
      </c>
      <c r="C486" s="1" t="s">
        <v>147</v>
      </c>
      <c r="E486" s="34">
        <v>287450</v>
      </c>
      <c r="F486" s="34"/>
      <c r="G486" s="34">
        <v>1022</v>
      </c>
      <c r="H486" s="34"/>
      <c r="I486" s="34">
        <v>0</v>
      </c>
      <c r="J486" s="34"/>
      <c r="K486" s="34">
        <v>0</v>
      </c>
      <c r="L486" s="34"/>
      <c r="M486" s="34">
        <v>0</v>
      </c>
      <c r="N486" s="34"/>
      <c r="O486" s="34">
        <v>0</v>
      </c>
      <c r="P486" s="34"/>
      <c r="Q486" s="34">
        <v>121801</v>
      </c>
      <c r="R486" s="34"/>
      <c r="S486" s="34">
        <v>0</v>
      </c>
      <c r="T486" s="34"/>
      <c r="U486" s="34">
        <v>15705</v>
      </c>
      <c r="V486" s="34"/>
      <c r="W486" s="34">
        <v>4805</v>
      </c>
      <c r="X486" s="34"/>
      <c r="Y486" s="34">
        <v>59978</v>
      </c>
      <c r="Z486" s="32"/>
      <c r="AA486" s="34">
        <v>0</v>
      </c>
      <c r="AB486" s="34"/>
      <c r="AC486" s="34">
        <v>0</v>
      </c>
      <c r="AD486" s="34"/>
      <c r="AE486" s="33">
        <f t="shared" si="7"/>
        <v>490761</v>
      </c>
    </row>
    <row r="487" spans="1:31" ht="12.75" customHeight="1">
      <c r="A487" s="1" t="s">
        <v>634</v>
      </c>
      <c r="C487" s="1" t="s">
        <v>378</v>
      </c>
      <c r="E487" s="34">
        <v>469808</v>
      </c>
      <c r="F487" s="34"/>
      <c r="G487" s="34">
        <v>15372</v>
      </c>
      <c r="H487" s="34"/>
      <c r="I487" s="34">
        <v>2000</v>
      </c>
      <c r="J487" s="34"/>
      <c r="K487" s="34">
        <v>8330</v>
      </c>
      <c r="L487" s="34"/>
      <c r="M487" s="34">
        <v>0</v>
      </c>
      <c r="N487" s="34"/>
      <c r="O487" s="34">
        <v>5450</v>
      </c>
      <c r="P487" s="34"/>
      <c r="Q487" s="34">
        <v>219907</v>
      </c>
      <c r="R487" s="34"/>
      <c r="S487" s="34">
        <v>0</v>
      </c>
      <c r="T487" s="34"/>
      <c r="U487" s="34">
        <v>0</v>
      </c>
      <c r="V487" s="34"/>
      <c r="W487" s="34">
        <v>0</v>
      </c>
      <c r="X487" s="34"/>
      <c r="Y487" s="34">
        <v>0</v>
      </c>
      <c r="Z487" s="32"/>
      <c r="AA487" s="34">
        <v>0</v>
      </c>
      <c r="AB487" s="34"/>
      <c r="AC487" s="34">
        <v>0</v>
      </c>
      <c r="AD487" s="34"/>
      <c r="AE487" s="33">
        <f t="shared" si="7"/>
        <v>720867</v>
      </c>
    </row>
    <row r="488" spans="1:31" ht="12.75" customHeight="1">
      <c r="A488" s="1" t="s">
        <v>455</v>
      </c>
      <c r="C488" s="1" t="s">
        <v>453</v>
      </c>
      <c r="E488" s="34">
        <v>4403</v>
      </c>
      <c r="F488" s="34"/>
      <c r="G488" s="34">
        <v>100</v>
      </c>
      <c r="H488" s="34"/>
      <c r="I488" s="34">
        <v>1407</v>
      </c>
      <c r="J488" s="34"/>
      <c r="K488" s="34">
        <v>1405</v>
      </c>
      <c r="L488" s="34"/>
      <c r="M488" s="34">
        <v>350</v>
      </c>
      <c r="N488" s="34"/>
      <c r="O488" s="34">
        <v>2773</v>
      </c>
      <c r="P488" s="34"/>
      <c r="Q488" s="34">
        <v>24393</v>
      </c>
      <c r="R488" s="34"/>
      <c r="S488" s="34">
        <v>0</v>
      </c>
      <c r="T488" s="34"/>
      <c r="U488" s="34">
        <v>0</v>
      </c>
      <c r="V488" s="34"/>
      <c r="W488" s="34">
        <v>0</v>
      </c>
      <c r="X488" s="34"/>
      <c r="Y488" s="34">
        <v>0</v>
      </c>
      <c r="Z488" s="32"/>
      <c r="AA488" s="34">
        <v>0</v>
      </c>
      <c r="AB488" s="34"/>
      <c r="AC488" s="34">
        <v>0</v>
      </c>
      <c r="AD488" s="34"/>
      <c r="AE488" s="33">
        <f t="shared" si="7"/>
        <v>34831</v>
      </c>
    </row>
    <row r="489" spans="1:31" ht="12.75" customHeight="1">
      <c r="A489" s="1" t="s">
        <v>647</v>
      </c>
      <c r="C489" s="1" t="s">
        <v>372</v>
      </c>
      <c r="E489" s="34">
        <v>383039</v>
      </c>
      <c r="F489" s="34"/>
      <c r="G489" s="34">
        <v>0</v>
      </c>
      <c r="H489" s="34"/>
      <c r="I489" s="34">
        <v>0</v>
      </c>
      <c r="J489" s="34"/>
      <c r="K489" s="34">
        <v>0</v>
      </c>
      <c r="L489" s="34"/>
      <c r="M489" s="34">
        <v>9286</v>
      </c>
      <c r="N489" s="34"/>
      <c r="O489" s="34">
        <v>0</v>
      </c>
      <c r="P489" s="34"/>
      <c r="Q489" s="34">
        <v>247020</v>
      </c>
      <c r="R489" s="34"/>
      <c r="S489" s="34">
        <v>70200</v>
      </c>
      <c r="T489" s="34"/>
      <c r="U489" s="34">
        <v>0</v>
      </c>
      <c r="V489" s="34"/>
      <c r="W489" s="34">
        <v>23634</v>
      </c>
      <c r="X489" s="34"/>
      <c r="Y489" s="34">
        <v>111000</v>
      </c>
      <c r="Z489" s="32"/>
      <c r="AA489" s="34">
        <v>0</v>
      </c>
      <c r="AB489" s="34"/>
      <c r="AC489" s="34">
        <v>0</v>
      </c>
      <c r="AD489" s="34"/>
      <c r="AE489" s="33">
        <f t="shared" si="7"/>
        <v>844179</v>
      </c>
    </row>
    <row r="490" spans="1:31" ht="12.75" customHeight="1">
      <c r="A490" s="1" t="s">
        <v>357</v>
      </c>
      <c r="C490" s="1" t="s">
        <v>131</v>
      </c>
      <c r="E490" s="34">
        <v>27089</v>
      </c>
      <c r="F490" s="34"/>
      <c r="G490" s="34">
        <v>634</v>
      </c>
      <c r="H490" s="34"/>
      <c r="I490" s="34">
        <v>0</v>
      </c>
      <c r="J490" s="34"/>
      <c r="K490" s="34">
        <v>128</v>
      </c>
      <c r="L490" s="34"/>
      <c r="M490" s="34">
        <v>1235</v>
      </c>
      <c r="N490" s="34"/>
      <c r="O490" s="34">
        <v>0</v>
      </c>
      <c r="P490" s="34"/>
      <c r="Q490" s="34">
        <v>24024</v>
      </c>
      <c r="R490" s="34"/>
      <c r="S490" s="34">
        <v>0</v>
      </c>
      <c r="T490" s="34"/>
      <c r="U490" s="34">
        <v>0</v>
      </c>
      <c r="V490" s="34"/>
      <c r="W490" s="34">
        <v>0</v>
      </c>
      <c r="X490" s="34"/>
      <c r="Y490" s="34">
        <v>0</v>
      </c>
      <c r="Z490" s="34"/>
      <c r="AA490" s="34">
        <v>0</v>
      </c>
      <c r="AB490" s="32"/>
      <c r="AC490" s="34">
        <v>0</v>
      </c>
      <c r="AD490" s="34"/>
      <c r="AE490" s="33">
        <f t="shared" si="7"/>
        <v>53110</v>
      </c>
    </row>
    <row r="491" spans="1:31" ht="12.75" customHeight="1">
      <c r="A491" s="1" t="s">
        <v>502</v>
      </c>
      <c r="C491" s="1" t="s">
        <v>122</v>
      </c>
      <c r="E491" s="34">
        <v>6019</v>
      </c>
      <c r="F491" s="34"/>
      <c r="G491" s="34">
        <v>0</v>
      </c>
      <c r="H491" s="34"/>
      <c r="I491" s="34">
        <v>0</v>
      </c>
      <c r="J491" s="34"/>
      <c r="K491" s="34">
        <v>0</v>
      </c>
      <c r="L491" s="34"/>
      <c r="M491" s="34">
        <v>366</v>
      </c>
      <c r="N491" s="34"/>
      <c r="O491" s="34">
        <v>0</v>
      </c>
      <c r="P491" s="34"/>
      <c r="Q491" s="34">
        <v>21062</v>
      </c>
      <c r="R491" s="34"/>
      <c r="S491" s="34">
        <v>0</v>
      </c>
      <c r="T491" s="34"/>
      <c r="U491" s="34">
        <v>0</v>
      </c>
      <c r="V491" s="34"/>
      <c r="W491" s="34">
        <v>0</v>
      </c>
      <c r="X491" s="34"/>
      <c r="Y491" s="34">
        <v>0</v>
      </c>
      <c r="Z491" s="32"/>
      <c r="AA491" s="34">
        <v>0</v>
      </c>
      <c r="AB491" s="34"/>
      <c r="AC491" s="34">
        <v>0</v>
      </c>
      <c r="AD491" s="34"/>
      <c r="AE491" s="33">
        <f t="shared" si="7"/>
        <v>27447</v>
      </c>
    </row>
    <row r="492" spans="1:31" ht="12.75" customHeight="1">
      <c r="A492" s="1" t="s">
        <v>137</v>
      </c>
      <c r="C492" s="1" t="s">
        <v>94</v>
      </c>
      <c r="E492" s="34">
        <v>105102</v>
      </c>
      <c r="F492" s="34"/>
      <c r="G492" s="34">
        <v>350</v>
      </c>
      <c r="H492" s="34"/>
      <c r="I492" s="34">
        <v>0</v>
      </c>
      <c r="J492" s="34"/>
      <c r="K492" s="34">
        <v>633</v>
      </c>
      <c r="L492" s="34"/>
      <c r="M492" s="34">
        <v>0</v>
      </c>
      <c r="N492" s="34"/>
      <c r="O492" s="34">
        <v>0</v>
      </c>
      <c r="P492" s="34"/>
      <c r="Q492" s="34">
        <v>64501</v>
      </c>
      <c r="R492" s="34"/>
      <c r="S492" s="34">
        <v>0</v>
      </c>
      <c r="T492" s="34"/>
      <c r="U492" s="34">
        <v>0</v>
      </c>
      <c r="V492" s="34"/>
      <c r="W492" s="34">
        <v>0</v>
      </c>
      <c r="X492" s="34"/>
      <c r="Y492" s="34">
        <v>82</v>
      </c>
      <c r="Z492" s="32"/>
      <c r="AA492" s="34">
        <v>0</v>
      </c>
      <c r="AB492" s="34"/>
      <c r="AC492" s="34">
        <v>0</v>
      </c>
      <c r="AD492" s="34"/>
      <c r="AE492" s="33">
        <f t="shared" si="7"/>
        <v>170668</v>
      </c>
    </row>
    <row r="493" spans="1:31" ht="12.75" customHeight="1">
      <c r="A493" s="1" t="s">
        <v>657</v>
      </c>
      <c r="C493" s="1" t="s">
        <v>155</v>
      </c>
      <c r="E493" s="34">
        <v>3550</v>
      </c>
      <c r="F493" s="34"/>
      <c r="G493" s="34">
        <v>0</v>
      </c>
      <c r="H493" s="34"/>
      <c r="I493" s="34">
        <v>0</v>
      </c>
      <c r="J493" s="34"/>
      <c r="K493" s="34">
        <v>0</v>
      </c>
      <c r="L493" s="34"/>
      <c r="M493" s="34">
        <v>0</v>
      </c>
      <c r="N493" s="34"/>
      <c r="O493" s="34">
        <v>0</v>
      </c>
      <c r="P493" s="34"/>
      <c r="Q493" s="34">
        <v>20953</v>
      </c>
      <c r="R493" s="34"/>
      <c r="S493" s="34">
        <v>0</v>
      </c>
      <c r="T493" s="34"/>
      <c r="U493" s="34">
        <v>0</v>
      </c>
      <c r="V493" s="34"/>
      <c r="W493" s="34">
        <v>0</v>
      </c>
      <c r="X493" s="34"/>
      <c r="Y493" s="34">
        <v>10000</v>
      </c>
      <c r="Z493" s="32"/>
      <c r="AA493" s="34">
        <v>0</v>
      </c>
      <c r="AB493" s="34"/>
      <c r="AC493" s="34">
        <v>230</v>
      </c>
      <c r="AD493" s="34"/>
      <c r="AE493" s="33">
        <f t="shared" si="7"/>
        <v>34733</v>
      </c>
    </row>
    <row r="494" spans="1:31" ht="12.75" customHeight="1">
      <c r="A494" s="1" t="s">
        <v>470</v>
      </c>
      <c r="C494" s="1" t="s">
        <v>100</v>
      </c>
      <c r="E494" s="34">
        <v>118360</v>
      </c>
      <c r="F494" s="34"/>
      <c r="G494" s="34">
        <v>4754</v>
      </c>
      <c r="H494" s="34"/>
      <c r="I494" s="34">
        <v>0</v>
      </c>
      <c r="J494" s="34"/>
      <c r="K494" s="34">
        <v>0</v>
      </c>
      <c r="L494" s="34"/>
      <c r="M494" s="34">
        <v>0</v>
      </c>
      <c r="N494" s="34"/>
      <c r="O494" s="34">
        <v>0</v>
      </c>
      <c r="P494" s="34"/>
      <c r="Q494" s="34">
        <v>115932</v>
      </c>
      <c r="R494" s="34"/>
      <c r="S494" s="34">
        <v>20050</v>
      </c>
      <c r="T494" s="34"/>
      <c r="U494" s="34">
        <v>0</v>
      </c>
      <c r="V494" s="34"/>
      <c r="W494" s="34">
        <v>0</v>
      </c>
      <c r="X494" s="34"/>
      <c r="Y494" s="34">
        <v>24000</v>
      </c>
      <c r="Z494" s="32"/>
      <c r="AA494" s="34">
        <v>0</v>
      </c>
      <c r="AB494" s="34"/>
      <c r="AC494" s="34">
        <v>0</v>
      </c>
      <c r="AD494" s="34"/>
      <c r="AE494" s="33">
        <f t="shared" si="7"/>
        <v>283096</v>
      </c>
    </row>
    <row r="495" spans="1:31" ht="12.75" customHeight="1">
      <c r="A495" s="1" t="s">
        <v>610</v>
      </c>
      <c r="C495" s="1" t="s">
        <v>164</v>
      </c>
      <c r="E495" s="34">
        <v>136283</v>
      </c>
      <c r="F495" s="34"/>
      <c r="G495" s="34">
        <v>0</v>
      </c>
      <c r="H495" s="34"/>
      <c r="I495" s="34">
        <v>144</v>
      </c>
      <c r="J495" s="34"/>
      <c r="K495" s="34">
        <v>0</v>
      </c>
      <c r="L495" s="34"/>
      <c r="M495" s="34">
        <v>0</v>
      </c>
      <c r="N495" s="34"/>
      <c r="O495" s="34">
        <v>0</v>
      </c>
      <c r="P495" s="34"/>
      <c r="Q495" s="34">
        <v>55397</v>
      </c>
      <c r="R495" s="34"/>
      <c r="S495" s="34">
        <v>0</v>
      </c>
      <c r="T495" s="34"/>
      <c r="U495" s="34">
        <v>0</v>
      </c>
      <c r="V495" s="34"/>
      <c r="W495" s="34">
        <v>0</v>
      </c>
      <c r="X495" s="34"/>
      <c r="Y495" s="34">
        <v>0</v>
      </c>
      <c r="Z495" s="32"/>
      <c r="AA495" s="34">
        <v>0</v>
      </c>
      <c r="AB495" s="34"/>
      <c r="AC495" s="34">
        <v>0</v>
      </c>
      <c r="AD495" s="34"/>
      <c r="AE495" s="33">
        <f t="shared" si="7"/>
        <v>191824</v>
      </c>
    </row>
    <row r="496" spans="1:31" ht="12.75" customHeight="1">
      <c r="A496" s="1" t="s">
        <v>639</v>
      </c>
      <c r="C496" s="1" t="s">
        <v>268</v>
      </c>
      <c r="E496" s="34">
        <v>43961</v>
      </c>
      <c r="F496" s="34"/>
      <c r="G496" s="34">
        <v>6067</v>
      </c>
      <c r="H496" s="34"/>
      <c r="I496" s="34">
        <v>0</v>
      </c>
      <c r="J496" s="34"/>
      <c r="K496" s="34">
        <v>0</v>
      </c>
      <c r="L496" s="34"/>
      <c r="M496" s="34">
        <v>0</v>
      </c>
      <c r="N496" s="34"/>
      <c r="O496" s="34">
        <v>0</v>
      </c>
      <c r="P496" s="34"/>
      <c r="Q496" s="34">
        <v>63296</v>
      </c>
      <c r="R496" s="34"/>
      <c r="S496" s="34">
        <v>0</v>
      </c>
      <c r="T496" s="34"/>
      <c r="U496" s="34">
        <v>0</v>
      </c>
      <c r="V496" s="34"/>
      <c r="W496" s="34">
        <v>0</v>
      </c>
      <c r="X496" s="34"/>
      <c r="Y496" s="34">
        <v>10000</v>
      </c>
      <c r="Z496" s="32"/>
      <c r="AA496" s="34">
        <v>0</v>
      </c>
      <c r="AB496" s="34"/>
      <c r="AC496" s="34">
        <v>10200</v>
      </c>
      <c r="AD496" s="34"/>
      <c r="AE496" s="33">
        <f t="shared" si="7"/>
        <v>133524</v>
      </c>
    </row>
    <row r="497" spans="1:31" ht="12.75" customHeight="1">
      <c r="A497" s="1" t="s">
        <v>676</v>
      </c>
      <c r="C497" s="1" t="s">
        <v>215</v>
      </c>
      <c r="E497" s="34">
        <v>438007</v>
      </c>
      <c r="F497" s="34"/>
      <c r="G497" s="34">
        <v>3795</v>
      </c>
      <c r="H497" s="34"/>
      <c r="I497" s="34">
        <v>274623</v>
      </c>
      <c r="J497" s="34"/>
      <c r="K497" s="34">
        <v>600</v>
      </c>
      <c r="L497" s="34"/>
      <c r="M497" s="34">
        <v>0</v>
      </c>
      <c r="N497" s="34"/>
      <c r="O497" s="34">
        <v>46991</v>
      </c>
      <c r="P497" s="34"/>
      <c r="Q497" s="34">
        <v>267986</v>
      </c>
      <c r="R497" s="34"/>
      <c r="S497" s="34">
        <v>51297</v>
      </c>
      <c r="T497" s="34"/>
      <c r="U497" s="34">
        <v>0</v>
      </c>
      <c r="V497" s="34"/>
      <c r="W497" s="34">
        <v>158959</v>
      </c>
      <c r="X497" s="34"/>
      <c r="Y497" s="34">
        <v>0</v>
      </c>
      <c r="Z497" s="32"/>
      <c r="AA497" s="34">
        <v>0</v>
      </c>
      <c r="AB497" s="34"/>
      <c r="AC497" s="34">
        <v>0</v>
      </c>
      <c r="AD497" s="34"/>
      <c r="AE497" s="33">
        <f t="shared" si="7"/>
        <v>1242258</v>
      </c>
    </row>
    <row r="498" spans="1:31" ht="12.75" customHeight="1">
      <c r="A498" s="1" t="s">
        <v>560</v>
      </c>
      <c r="C498" s="1" t="s">
        <v>199</v>
      </c>
      <c r="E498" s="34">
        <v>5654</v>
      </c>
      <c r="F498" s="34"/>
      <c r="G498" s="34">
        <v>3898</v>
      </c>
      <c r="H498" s="34"/>
      <c r="I498" s="34">
        <v>9253</v>
      </c>
      <c r="J498" s="34"/>
      <c r="K498" s="34">
        <v>0</v>
      </c>
      <c r="L498" s="34"/>
      <c r="M498" s="34">
        <v>0</v>
      </c>
      <c r="N498" s="34"/>
      <c r="O498" s="34">
        <v>0</v>
      </c>
      <c r="P498" s="34"/>
      <c r="Q498" s="34">
        <v>27514</v>
      </c>
      <c r="R498" s="34"/>
      <c r="S498" s="34">
        <v>830</v>
      </c>
      <c r="T498" s="34"/>
      <c r="U498" s="34">
        <v>0</v>
      </c>
      <c r="V498" s="34"/>
      <c r="W498" s="34">
        <v>0</v>
      </c>
      <c r="X498" s="34"/>
      <c r="Y498" s="34">
        <v>0</v>
      </c>
      <c r="Z498" s="32"/>
      <c r="AA498" s="34">
        <v>0</v>
      </c>
      <c r="AB498" s="34"/>
      <c r="AC498" s="34">
        <v>0</v>
      </c>
      <c r="AD498" s="34"/>
      <c r="AE498" s="33">
        <f t="shared" si="7"/>
        <v>47149</v>
      </c>
    </row>
    <row r="499" spans="1:31" ht="12.75" customHeight="1">
      <c r="A499" s="1" t="s">
        <v>620</v>
      </c>
      <c r="C499" s="1" t="s">
        <v>369</v>
      </c>
      <c r="E499" s="34">
        <v>30788</v>
      </c>
      <c r="F499" s="34"/>
      <c r="G499" s="34">
        <v>0</v>
      </c>
      <c r="H499" s="34"/>
      <c r="I499" s="34">
        <v>20107</v>
      </c>
      <c r="J499" s="34"/>
      <c r="K499" s="34">
        <v>0</v>
      </c>
      <c r="L499" s="34"/>
      <c r="M499" s="34">
        <v>0</v>
      </c>
      <c r="N499" s="34"/>
      <c r="O499" s="34">
        <v>0</v>
      </c>
      <c r="P499" s="34"/>
      <c r="Q499" s="34">
        <v>60741</v>
      </c>
      <c r="R499" s="34"/>
      <c r="S499" s="34">
        <v>14369</v>
      </c>
      <c r="T499" s="34"/>
      <c r="U499" s="34">
        <v>0</v>
      </c>
      <c r="V499" s="34"/>
      <c r="W499" s="34">
        <v>0</v>
      </c>
      <c r="X499" s="34"/>
      <c r="Y499" s="34">
        <v>0</v>
      </c>
      <c r="Z499" s="32"/>
      <c r="AA499" s="34">
        <v>0</v>
      </c>
      <c r="AB499" s="34"/>
      <c r="AC499" s="34">
        <v>0</v>
      </c>
      <c r="AD499" s="34"/>
      <c r="AE499" s="33">
        <f t="shared" si="7"/>
        <v>126005</v>
      </c>
    </row>
    <row r="500" spans="1:31" ht="12.75" customHeight="1">
      <c r="A500" s="1" t="s">
        <v>648</v>
      </c>
      <c r="C500" s="1" t="s">
        <v>372</v>
      </c>
      <c r="E500" s="34">
        <v>27050</v>
      </c>
      <c r="F500" s="34"/>
      <c r="G500" s="34">
        <v>500</v>
      </c>
      <c r="H500" s="34"/>
      <c r="I500" s="34">
        <v>7998</v>
      </c>
      <c r="J500" s="34"/>
      <c r="K500" s="34">
        <v>6933</v>
      </c>
      <c r="L500" s="34"/>
      <c r="M500" s="34">
        <v>9948</v>
      </c>
      <c r="N500" s="34"/>
      <c r="O500" s="34">
        <v>59651</v>
      </c>
      <c r="P500" s="34"/>
      <c r="Q500" s="34">
        <v>28754</v>
      </c>
      <c r="R500" s="34"/>
      <c r="S500" s="34">
        <v>0</v>
      </c>
      <c r="T500" s="34"/>
      <c r="U500" s="34">
        <v>0</v>
      </c>
      <c r="V500" s="34"/>
      <c r="W500" s="34">
        <v>0</v>
      </c>
      <c r="X500" s="34"/>
      <c r="Y500" s="34">
        <v>0</v>
      </c>
      <c r="Z500" s="32"/>
      <c r="AA500" s="34">
        <v>0</v>
      </c>
      <c r="AB500" s="34"/>
      <c r="AC500" s="34">
        <v>0</v>
      </c>
      <c r="AD500" s="34"/>
      <c r="AE500" s="33">
        <f t="shared" si="7"/>
        <v>140834</v>
      </c>
    </row>
    <row r="501" spans="1:31" ht="12.75" customHeight="1">
      <c r="A501" s="1" t="s">
        <v>358</v>
      </c>
      <c r="C501" s="1" t="s">
        <v>318</v>
      </c>
      <c r="E501" s="34">
        <v>0</v>
      </c>
      <c r="F501" s="34"/>
      <c r="G501" s="34">
        <v>830</v>
      </c>
      <c r="H501" s="34"/>
      <c r="I501" s="34">
        <v>0</v>
      </c>
      <c r="J501" s="34"/>
      <c r="K501" s="34">
        <v>0</v>
      </c>
      <c r="L501" s="34"/>
      <c r="M501" s="34">
        <v>0</v>
      </c>
      <c r="N501" s="34"/>
      <c r="O501" s="34">
        <v>0</v>
      </c>
      <c r="P501" s="34"/>
      <c r="Q501" s="34">
        <v>20781</v>
      </c>
      <c r="R501" s="34"/>
      <c r="S501" s="34">
        <v>0</v>
      </c>
      <c r="T501" s="34"/>
      <c r="U501" s="34">
        <v>16483</v>
      </c>
      <c r="V501" s="34"/>
      <c r="W501" s="34">
        <v>94</v>
      </c>
      <c r="X501" s="34"/>
      <c r="Y501" s="34">
        <v>6250</v>
      </c>
      <c r="Z501" s="34"/>
      <c r="AA501" s="34">
        <v>0</v>
      </c>
      <c r="AB501" s="32"/>
      <c r="AC501" s="34">
        <v>0</v>
      </c>
      <c r="AD501" s="34"/>
      <c r="AE501" s="33">
        <f t="shared" si="7"/>
        <v>44438</v>
      </c>
    </row>
    <row r="502" spans="1:31" ht="12.75" customHeight="1">
      <c r="A502" s="1" t="s">
        <v>573</v>
      </c>
      <c r="C502" s="1" t="s">
        <v>114</v>
      </c>
      <c r="E502" s="34">
        <v>14944</v>
      </c>
      <c r="F502" s="34"/>
      <c r="G502" s="34">
        <v>1496</v>
      </c>
      <c r="H502" s="34"/>
      <c r="I502" s="34">
        <v>4860</v>
      </c>
      <c r="J502" s="34"/>
      <c r="K502" s="34">
        <v>45</v>
      </c>
      <c r="L502" s="34"/>
      <c r="M502" s="34">
        <v>0</v>
      </c>
      <c r="N502" s="34"/>
      <c r="O502" s="34">
        <v>0</v>
      </c>
      <c r="P502" s="34"/>
      <c r="Q502" s="34">
        <v>56920</v>
      </c>
      <c r="R502" s="34"/>
      <c r="S502" s="34">
        <v>0</v>
      </c>
      <c r="T502" s="34"/>
      <c r="U502" s="34">
        <v>0</v>
      </c>
      <c r="V502" s="34"/>
      <c r="W502" s="34">
        <v>0</v>
      </c>
      <c r="X502" s="34"/>
      <c r="Y502" s="34">
        <v>0</v>
      </c>
      <c r="Z502" s="32"/>
      <c r="AA502" s="34">
        <v>0</v>
      </c>
      <c r="AB502" s="34"/>
      <c r="AC502" s="34">
        <v>0</v>
      </c>
      <c r="AD502" s="34"/>
      <c r="AE502" s="33">
        <f t="shared" si="7"/>
        <v>78265</v>
      </c>
    </row>
    <row r="503" spans="1:31" ht="12.75" customHeight="1">
      <c r="A503" s="1" t="s">
        <v>734</v>
      </c>
      <c r="C503" s="1" t="s">
        <v>129</v>
      </c>
      <c r="E503" s="34">
        <v>747629</v>
      </c>
      <c r="F503" s="34"/>
      <c r="G503" s="34">
        <v>17337</v>
      </c>
      <c r="H503" s="34"/>
      <c r="I503" s="34">
        <v>0</v>
      </c>
      <c r="J503" s="34"/>
      <c r="K503" s="34">
        <v>179325</v>
      </c>
      <c r="L503" s="34"/>
      <c r="M503" s="34">
        <v>0</v>
      </c>
      <c r="N503" s="34"/>
      <c r="O503" s="34">
        <v>97271</v>
      </c>
      <c r="P503" s="34"/>
      <c r="Q503" s="34">
        <v>302741</v>
      </c>
      <c r="R503" s="34"/>
      <c r="S503" s="34">
        <v>8844</v>
      </c>
      <c r="T503" s="34"/>
      <c r="U503" s="34">
        <v>15413</v>
      </c>
      <c r="V503" s="34"/>
      <c r="W503" s="34">
        <v>5000</v>
      </c>
      <c r="X503" s="34"/>
      <c r="Y503" s="34">
        <v>244026</v>
      </c>
      <c r="Z503" s="32"/>
      <c r="AA503" s="34">
        <v>75934</v>
      </c>
      <c r="AB503" s="34"/>
      <c r="AC503" s="34">
        <v>1166</v>
      </c>
      <c r="AD503" s="34"/>
      <c r="AE503" s="33">
        <f t="shared" si="7"/>
        <v>1694686</v>
      </c>
    </row>
    <row r="504" spans="1:31" ht="12.75" customHeight="1">
      <c r="A504" s="1" t="s">
        <v>683</v>
      </c>
      <c r="C504" s="1" t="s">
        <v>179</v>
      </c>
      <c r="E504" s="34">
        <v>648</v>
      </c>
      <c r="F504" s="34"/>
      <c r="G504" s="34">
        <v>10</v>
      </c>
      <c r="H504" s="34"/>
      <c r="I504" s="34">
        <v>0</v>
      </c>
      <c r="J504" s="34"/>
      <c r="K504" s="34">
        <v>0</v>
      </c>
      <c r="L504" s="34"/>
      <c r="M504" s="34">
        <v>196</v>
      </c>
      <c r="N504" s="34"/>
      <c r="O504" s="34">
        <v>0</v>
      </c>
      <c r="P504" s="34"/>
      <c r="Q504" s="34">
        <v>3581</v>
      </c>
      <c r="R504" s="34"/>
      <c r="S504" s="34">
        <v>0</v>
      </c>
      <c r="T504" s="34"/>
      <c r="U504" s="34">
        <v>0</v>
      </c>
      <c r="V504" s="34"/>
      <c r="W504" s="34">
        <v>0</v>
      </c>
      <c r="X504" s="34"/>
      <c r="Y504" s="34">
        <v>1500</v>
      </c>
      <c r="Z504" s="32"/>
      <c r="AA504" s="34">
        <v>0</v>
      </c>
      <c r="AB504" s="34"/>
      <c r="AC504" s="34">
        <v>0</v>
      </c>
      <c r="AD504" s="34"/>
      <c r="AE504" s="33">
        <f t="shared" si="7"/>
        <v>5935</v>
      </c>
    </row>
    <row r="505" spans="1:31" ht="12.75" customHeight="1">
      <c r="A505" s="1" t="s">
        <v>725</v>
      </c>
      <c r="C505" s="1" t="s">
        <v>118</v>
      </c>
      <c r="E505" s="34">
        <v>64067</v>
      </c>
      <c r="F505" s="34"/>
      <c r="G505" s="34">
        <v>1820</v>
      </c>
      <c r="H505" s="34"/>
      <c r="I505" s="34">
        <v>2671</v>
      </c>
      <c r="J505" s="34"/>
      <c r="K505" s="34">
        <v>8000</v>
      </c>
      <c r="L505" s="34"/>
      <c r="M505" s="34">
        <v>9948</v>
      </c>
      <c r="N505" s="34"/>
      <c r="O505" s="34">
        <v>106510</v>
      </c>
      <c r="P505" s="34"/>
      <c r="Q505" s="34">
        <v>55124</v>
      </c>
      <c r="R505" s="34"/>
      <c r="S505" s="34">
        <v>0</v>
      </c>
      <c r="T505" s="34"/>
      <c r="U505" s="34">
        <v>0</v>
      </c>
      <c r="V505" s="34"/>
      <c r="W505" s="34">
        <v>0</v>
      </c>
      <c r="X505" s="34"/>
      <c r="Y505" s="34">
        <v>0</v>
      </c>
      <c r="Z505" s="32"/>
      <c r="AA505" s="34">
        <v>0</v>
      </c>
      <c r="AB505" s="34"/>
      <c r="AC505" s="34">
        <v>0</v>
      </c>
      <c r="AD505" s="34"/>
      <c r="AE505" s="33">
        <f t="shared" si="7"/>
        <v>248140</v>
      </c>
    </row>
    <row r="506" spans="1:31" ht="12.75" customHeight="1">
      <c r="A506" s="1" t="s">
        <v>359</v>
      </c>
      <c r="C506" s="1" t="s">
        <v>129</v>
      </c>
      <c r="E506" s="34">
        <v>3109184</v>
      </c>
      <c r="F506" s="34"/>
      <c r="G506" s="34">
        <v>54640</v>
      </c>
      <c r="H506" s="34"/>
      <c r="I506" s="34">
        <v>42407</v>
      </c>
      <c r="J506" s="34"/>
      <c r="K506" s="34">
        <v>304100</v>
      </c>
      <c r="L506" s="34"/>
      <c r="M506" s="34">
        <v>141920</v>
      </c>
      <c r="N506" s="34"/>
      <c r="O506" s="34">
        <v>0</v>
      </c>
      <c r="P506" s="34"/>
      <c r="Q506" s="34">
        <v>570089</v>
      </c>
      <c r="R506" s="34"/>
      <c r="S506" s="34">
        <v>0</v>
      </c>
      <c r="T506" s="34"/>
      <c r="U506" s="34">
        <v>0</v>
      </c>
      <c r="V506" s="34"/>
      <c r="W506" s="34">
        <v>0</v>
      </c>
      <c r="X506" s="34"/>
      <c r="Y506" s="34">
        <v>10000</v>
      </c>
      <c r="Z506" s="34"/>
      <c r="AA506" s="34">
        <v>0</v>
      </c>
      <c r="AB506" s="32"/>
      <c r="AC506" s="34">
        <v>2800</v>
      </c>
      <c r="AD506" s="34"/>
      <c r="AE506" s="33">
        <f t="shared" si="7"/>
        <v>4235140</v>
      </c>
    </row>
    <row r="507" spans="1:31" ht="12.75" customHeight="1">
      <c r="A507" s="1" t="s">
        <v>601</v>
      </c>
      <c r="C507" s="1" t="s">
        <v>69</v>
      </c>
      <c r="E507" s="34">
        <v>5597</v>
      </c>
      <c r="F507" s="34"/>
      <c r="G507" s="34">
        <v>786</v>
      </c>
      <c r="H507" s="34"/>
      <c r="I507" s="34">
        <v>12326</v>
      </c>
      <c r="J507" s="34"/>
      <c r="K507" s="34">
        <v>0</v>
      </c>
      <c r="L507" s="34"/>
      <c r="M507" s="34">
        <v>0</v>
      </c>
      <c r="N507" s="34"/>
      <c r="O507" s="34">
        <v>46978</v>
      </c>
      <c r="P507" s="34"/>
      <c r="Q507" s="34">
        <v>27259</v>
      </c>
      <c r="R507" s="34"/>
      <c r="S507" s="34">
        <v>0</v>
      </c>
      <c r="T507" s="34"/>
      <c r="U507" s="34">
        <v>4156</v>
      </c>
      <c r="V507" s="34"/>
      <c r="W507" s="34">
        <v>293</v>
      </c>
      <c r="X507" s="34"/>
      <c r="Y507" s="34">
        <v>0</v>
      </c>
      <c r="Z507" s="32"/>
      <c r="AA507" s="34">
        <v>0</v>
      </c>
      <c r="AB507" s="34"/>
      <c r="AC507" s="34">
        <v>0</v>
      </c>
      <c r="AD507" s="34"/>
      <c r="AE507" s="33">
        <f t="shared" si="7"/>
        <v>97395</v>
      </c>
    </row>
    <row r="508" spans="1:31" ht="12.75" customHeight="1">
      <c r="A508" s="1" t="s">
        <v>746</v>
      </c>
      <c r="C508" s="1" t="s">
        <v>744</v>
      </c>
      <c r="E508" s="34">
        <v>365836</v>
      </c>
      <c r="F508" s="34"/>
      <c r="G508" s="34">
        <v>27169</v>
      </c>
      <c r="H508" s="34"/>
      <c r="I508" s="34">
        <v>0</v>
      </c>
      <c r="J508" s="34"/>
      <c r="K508" s="34">
        <v>0</v>
      </c>
      <c r="L508" s="34"/>
      <c r="M508" s="34">
        <v>0</v>
      </c>
      <c r="N508" s="34"/>
      <c r="O508" s="34">
        <v>15181</v>
      </c>
      <c r="P508" s="34"/>
      <c r="Q508" s="34">
        <v>113041</v>
      </c>
      <c r="R508" s="34"/>
      <c r="S508" s="34">
        <v>0</v>
      </c>
      <c r="T508" s="34"/>
      <c r="U508" s="34">
        <v>0</v>
      </c>
      <c r="V508" s="34"/>
      <c r="W508" s="34">
        <v>0</v>
      </c>
      <c r="X508" s="34"/>
      <c r="Y508" s="34">
        <v>203234</v>
      </c>
      <c r="Z508" s="32"/>
      <c r="AA508" s="34">
        <v>112200</v>
      </c>
      <c r="AB508" s="34"/>
      <c r="AC508" s="34">
        <v>0</v>
      </c>
      <c r="AD508" s="34"/>
      <c r="AE508" s="33">
        <f t="shared" si="7"/>
        <v>836661</v>
      </c>
    </row>
    <row r="509" spans="1:31" ht="12.75" customHeight="1">
      <c r="A509" s="1" t="s">
        <v>577</v>
      </c>
      <c r="C509" s="1" t="s">
        <v>65</v>
      </c>
      <c r="E509" s="34">
        <v>4308</v>
      </c>
      <c r="F509" s="34"/>
      <c r="G509" s="34">
        <v>5505</v>
      </c>
      <c r="H509" s="34"/>
      <c r="I509" s="34">
        <v>0</v>
      </c>
      <c r="J509" s="34"/>
      <c r="K509" s="34">
        <v>0</v>
      </c>
      <c r="L509" s="34"/>
      <c r="M509" s="34">
        <v>2600</v>
      </c>
      <c r="N509" s="34"/>
      <c r="O509" s="34">
        <v>0</v>
      </c>
      <c r="P509" s="34"/>
      <c r="Q509" s="34">
        <v>21472</v>
      </c>
      <c r="R509" s="34"/>
      <c r="S509" s="34">
        <v>0</v>
      </c>
      <c r="T509" s="34"/>
      <c r="U509" s="34">
        <v>0</v>
      </c>
      <c r="V509" s="34"/>
      <c r="W509" s="34">
        <v>1366</v>
      </c>
      <c r="X509" s="34"/>
      <c r="Y509" s="34">
        <v>0</v>
      </c>
      <c r="Z509" s="32"/>
      <c r="AA509" s="34">
        <v>0</v>
      </c>
      <c r="AB509" s="34"/>
      <c r="AC509" s="34">
        <v>0</v>
      </c>
      <c r="AD509" s="34"/>
      <c r="AE509" s="33">
        <f t="shared" si="7"/>
        <v>35251</v>
      </c>
    </row>
    <row r="510" spans="1:31" ht="12.75" customHeight="1">
      <c r="A510" s="1" t="s">
        <v>553</v>
      </c>
      <c r="C510" s="1" t="s">
        <v>210</v>
      </c>
      <c r="E510" s="34">
        <v>110066</v>
      </c>
      <c r="F510" s="34"/>
      <c r="G510" s="34">
        <v>0</v>
      </c>
      <c r="H510" s="34"/>
      <c r="I510" s="34">
        <v>1893</v>
      </c>
      <c r="J510" s="34"/>
      <c r="K510" s="34">
        <v>117</v>
      </c>
      <c r="L510" s="34"/>
      <c r="M510" s="34">
        <v>0</v>
      </c>
      <c r="N510" s="34"/>
      <c r="O510" s="34">
        <v>1065</v>
      </c>
      <c r="P510" s="34"/>
      <c r="Q510" s="34">
        <v>114083</v>
      </c>
      <c r="R510" s="34"/>
      <c r="S510" s="34">
        <v>16769</v>
      </c>
      <c r="T510" s="34"/>
      <c r="U510" s="34">
        <v>28120</v>
      </c>
      <c r="V510" s="34"/>
      <c r="W510" s="34">
        <v>2477</v>
      </c>
      <c r="X510" s="34"/>
      <c r="Y510" s="34">
        <v>0</v>
      </c>
      <c r="Z510" s="32"/>
      <c r="AA510" s="34">
        <v>0</v>
      </c>
      <c r="AB510" s="34"/>
      <c r="AC510" s="34">
        <v>0</v>
      </c>
      <c r="AD510" s="34"/>
      <c r="AE510" s="33">
        <f t="shared" si="7"/>
        <v>274590</v>
      </c>
    </row>
    <row r="511" spans="5:31" ht="12.75" customHeight="1"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2"/>
      <c r="AA511" s="34"/>
      <c r="AB511" s="34"/>
      <c r="AD511" s="34"/>
      <c r="AE511" s="34" t="s">
        <v>785</v>
      </c>
    </row>
    <row r="512" spans="1:31" s="36" customFormat="1" ht="12.75" customHeight="1">
      <c r="A512" s="36" t="s">
        <v>360</v>
      </c>
      <c r="C512" s="36" t="s">
        <v>246</v>
      </c>
      <c r="E512" s="39">
        <v>313568</v>
      </c>
      <c r="F512" s="39"/>
      <c r="G512" s="39">
        <v>0</v>
      </c>
      <c r="H512" s="39"/>
      <c r="I512" s="39">
        <v>0</v>
      </c>
      <c r="J512" s="39"/>
      <c r="K512" s="39">
        <v>0</v>
      </c>
      <c r="L512" s="39"/>
      <c r="M512" s="39">
        <v>0</v>
      </c>
      <c r="N512" s="39"/>
      <c r="O512" s="39">
        <v>0</v>
      </c>
      <c r="P512" s="39"/>
      <c r="Q512" s="39">
        <v>180106</v>
      </c>
      <c r="R512" s="39"/>
      <c r="S512" s="39">
        <v>3844</v>
      </c>
      <c r="T512" s="39"/>
      <c r="U512" s="39">
        <v>0</v>
      </c>
      <c r="V512" s="39"/>
      <c r="W512" s="39">
        <v>0</v>
      </c>
      <c r="X512" s="39"/>
      <c r="Y512" s="39">
        <v>118922</v>
      </c>
      <c r="Z512" s="39"/>
      <c r="AA512" s="39">
        <v>0</v>
      </c>
      <c r="AB512" s="38"/>
      <c r="AC512" s="39">
        <v>4477</v>
      </c>
      <c r="AD512" s="39"/>
      <c r="AE512" s="40">
        <f t="shared" si="7"/>
        <v>620917</v>
      </c>
    </row>
    <row r="513" spans="1:31" s="16" customFormat="1" ht="12.75" customHeight="1">
      <c r="A513" s="16" t="s">
        <v>775</v>
      </c>
      <c r="C513" s="16" t="s">
        <v>94</v>
      </c>
      <c r="E513" s="34">
        <v>42805</v>
      </c>
      <c r="F513" s="34"/>
      <c r="G513" s="34">
        <v>205</v>
      </c>
      <c r="H513" s="34"/>
      <c r="I513" s="34">
        <v>1677</v>
      </c>
      <c r="J513" s="34"/>
      <c r="K513" s="34">
        <v>0</v>
      </c>
      <c r="L513" s="34"/>
      <c r="M513" s="34">
        <v>934</v>
      </c>
      <c r="N513" s="34"/>
      <c r="O513" s="34">
        <v>417</v>
      </c>
      <c r="P513" s="34"/>
      <c r="Q513" s="34">
        <v>51213</v>
      </c>
      <c r="R513" s="34"/>
      <c r="S513" s="34">
        <v>0</v>
      </c>
      <c r="T513" s="34"/>
      <c r="U513" s="34">
        <v>4864</v>
      </c>
      <c r="V513" s="34"/>
      <c r="W513" s="34">
        <v>491</v>
      </c>
      <c r="X513" s="34"/>
      <c r="Y513" s="34">
        <v>333</v>
      </c>
      <c r="Z513" s="32"/>
      <c r="AA513" s="34">
        <v>6450</v>
      </c>
      <c r="AB513" s="34"/>
      <c r="AC513" s="34">
        <v>265</v>
      </c>
      <c r="AD513" s="34"/>
      <c r="AE513" s="33">
        <f t="shared" si="7"/>
        <v>109654</v>
      </c>
    </row>
    <row r="514" spans="1:31" ht="12.75" customHeight="1">
      <c r="A514" s="1" t="s">
        <v>361</v>
      </c>
      <c r="C514" s="1" t="s">
        <v>149</v>
      </c>
      <c r="E514" s="34">
        <v>64720</v>
      </c>
      <c r="F514" s="34"/>
      <c r="G514" s="34">
        <v>3269</v>
      </c>
      <c r="H514" s="34"/>
      <c r="I514" s="34">
        <v>10563</v>
      </c>
      <c r="J514" s="34"/>
      <c r="K514" s="34">
        <v>1790</v>
      </c>
      <c r="L514" s="34"/>
      <c r="M514" s="34">
        <v>33501</v>
      </c>
      <c r="N514" s="34"/>
      <c r="O514" s="34">
        <v>7942</v>
      </c>
      <c r="P514" s="34"/>
      <c r="Q514" s="34">
        <v>47969</v>
      </c>
      <c r="R514" s="34"/>
      <c r="S514" s="34">
        <v>0</v>
      </c>
      <c r="T514" s="34"/>
      <c r="U514" s="34">
        <v>0</v>
      </c>
      <c r="V514" s="34"/>
      <c r="W514" s="34">
        <v>0</v>
      </c>
      <c r="X514" s="34"/>
      <c r="Y514" s="34">
        <v>0</v>
      </c>
      <c r="Z514" s="34"/>
      <c r="AA514" s="34">
        <v>0</v>
      </c>
      <c r="AB514" s="32"/>
      <c r="AC514" s="34">
        <v>14150</v>
      </c>
      <c r="AD514" s="34"/>
      <c r="AE514" s="33">
        <f t="shared" si="7"/>
        <v>183904</v>
      </c>
    </row>
    <row r="515" spans="1:31" ht="12.75" customHeight="1">
      <c r="A515" s="1" t="s">
        <v>362</v>
      </c>
      <c r="C515" s="30" t="s">
        <v>76</v>
      </c>
      <c r="E515" s="34">
        <v>140436</v>
      </c>
      <c r="F515" s="34"/>
      <c r="G515" s="34">
        <v>19097</v>
      </c>
      <c r="H515" s="34"/>
      <c r="I515" s="34">
        <v>0</v>
      </c>
      <c r="J515" s="34"/>
      <c r="K515" s="34">
        <v>11850</v>
      </c>
      <c r="L515" s="34"/>
      <c r="M515" s="34">
        <v>0</v>
      </c>
      <c r="N515" s="34"/>
      <c r="O515" s="34">
        <v>0</v>
      </c>
      <c r="P515" s="34"/>
      <c r="Q515" s="34">
        <v>54934</v>
      </c>
      <c r="R515" s="34"/>
      <c r="S515" s="34">
        <v>0</v>
      </c>
      <c r="T515" s="34"/>
      <c r="U515" s="34">
        <v>0</v>
      </c>
      <c r="V515" s="34"/>
      <c r="W515" s="34">
        <v>0</v>
      </c>
      <c r="X515" s="34"/>
      <c r="Y515" s="34">
        <v>0</v>
      </c>
      <c r="Z515" s="34"/>
      <c r="AA515" s="34">
        <v>0</v>
      </c>
      <c r="AB515" s="32"/>
      <c r="AC515" s="34">
        <v>109</v>
      </c>
      <c r="AD515" s="34"/>
      <c r="AE515" s="33">
        <f t="shared" si="7"/>
        <v>226426</v>
      </c>
    </row>
    <row r="516" spans="1:31" ht="12.75" customHeight="1">
      <c r="A516" s="1" t="s">
        <v>625</v>
      </c>
      <c r="C516" s="1" t="s">
        <v>228</v>
      </c>
      <c r="E516" s="34">
        <v>3277</v>
      </c>
      <c r="F516" s="34"/>
      <c r="G516" s="34">
        <v>0</v>
      </c>
      <c r="H516" s="34"/>
      <c r="I516" s="34">
        <v>683</v>
      </c>
      <c r="J516" s="34"/>
      <c r="K516" s="34">
        <v>5267</v>
      </c>
      <c r="L516" s="34"/>
      <c r="M516" s="34">
        <v>0</v>
      </c>
      <c r="N516" s="34"/>
      <c r="O516" s="34">
        <v>0</v>
      </c>
      <c r="P516" s="34"/>
      <c r="Q516" s="34">
        <v>15129</v>
      </c>
      <c r="R516" s="34"/>
      <c r="S516" s="34">
        <v>0</v>
      </c>
      <c r="T516" s="34"/>
      <c r="U516" s="34">
        <v>0</v>
      </c>
      <c r="V516" s="34"/>
      <c r="W516" s="34">
        <v>0</v>
      </c>
      <c r="X516" s="34"/>
      <c r="Y516" s="34">
        <v>0</v>
      </c>
      <c r="Z516" s="32"/>
      <c r="AA516" s="34">
        <v>0</v>
      </c>
      <c r="AB516" s="34"/>
      <c r="AC516" s="34">
        <v>16</v>
      </c>
      <c r="AD516" s="34"/>
      <c r="AE516" s="33">
        <f t="shared" si="7"/>
        <v>24372</v>
      </c>
    </row>
    <row r="517" spans="1:31" ht="12.75" customHeight="1">
      <c r="A517" s="1" t="s">
        <v>363</v>
      </c>
      <c r="C517" s="30" t="s">
        <v>76</v>
      </c>
      <c r="E517" s="34">
        <v>7088</v>
      </c>
      <c r="F517" s="34"/>
      <c r="G517" s="34">
        <v>3238</v>
      </c>
      <c r="H517" s="34"/>
      <c r="I517" s="34">
        <v>0</v>
      </c>
      <c r="J517" s="34"/>
      <c r="K517" s="34">
        <v>304</v>
      </c>
      <c r="L517" s="34"/>
      <c r="M517" s="34">
        <v>1669</v>
      </c>
      <c r="N517" s="34"/>
      <c r="O517" s="34">
        <v>800</v>
      </c>
      <c r="P517" s="34"/>
      <c r="Q517" s="34">
        <v>58546</v>
      </c>
      <c r="R517" s="34"/>
      <c r="S517" s="34">
        <v>0</v>
      </c>
      <c r="T517" s="34"/>
      <c r="U517" s="34">
        <v>0</v>
      </c>
      <c r="V517" s="34"/>
      <c r="W517" s="34">
        <v>0</v>
      </c>
      <c r="X517" s="34"/>
      <c r="Y517" s="34">
        <v>44725</v>
      </c>
      <c r="Z517" s="34"/>
      <c r="AA517" s="34">
        <v>0</v>
      </c>
      <c r="AB517" s="32"/>
      <c r="AC517" s="34">
        <v>0</v>
      </c>
      <c r="AD517" s="34"/>
      <c r="AE517" s="33">
        <f t="shared" si="7"/>
        <v>116370</v>
      </c>
    </row>
    <row r="518" spans="1:31" ht="12.75" customHeight="1">
      <c r="A518" s="1" t="s">
        <v>364</v>
      </c>
      <c r="C518" s="1" t="s">
        <v>167</v>
      </c>
      <c r="E518" s="34">
        <v>169872</v>
      </c>
      <c r="F518" s="34"/>
      <c r="G518" s="34">
        <v>3154</v>
      </c>
      <c r="H518" s="34"/>
      <c r="I518" s="34">
        <v>24040</v>
      </c>
      <c r="J518" s="34"/>
      <c r="K518" s="34">
        <v>244</v>
      </c>
      <c r="L518" s="34"/>
      <c r="M518" s="34">
        <v>1899</v>
      </c>
      <c r="N518" s="34"/>
      <c r="O518" s="34">
        <v>89762</v>
      </c>
      <c r="P518" s="34"/>
      <c r="Q518" s="34">
        <v>87326</v>
      </c>
      <c r="R518" s="34"/>
      <c r="S518" s="34">
        <v>9823</v>
      </c>
      <c r="T518" s="34"/>
      <c r="U518" s="34">
        <v>0</v>
      </c>
      <c r="V518" s="34"/>
      <c r="W518" s="34">
        <v>0</v>
      </c>
      <c r="X518" s="34"/>
      <c r="Y518" s="34">
        <v>2800</v>
      </c>
      <c r="Z518" s="34"/>
      <c r="AA518" s="34">
        <v>0</v>
      </c>
      <c r="AB518" s="32"/>
      <c r="AC518" s="34">
        <v>0</v>
      </c>
      <c r="AD518" s="34"/>
      <c r="AE518" s="33">
        <f t="shared" si="7"/>
        <v>388920</v>
      </c>
    </row>
    <row r="519" spans="1:31" ht="12.75" customHeight="1">
      <c r="A519" s="1" t="s">
        <v>508</v>
      </c>
      <c r="C519" s="1" t="s">
        <v>414</v>
      </c>
      <c r="E519" s="34">
        <v>25631</v>
      </c>
      <c r="F519" s="34"/>
      <c r="G519" s="34">
        <v>8</v>
      </c>
      <c r="H519" s="34"/>
      <c r="I519" s="34">
        <v>0</v>
      </c>
      <c r="J519" s="34"/>
      <c r="K519" s="34">
        <v>0</v>
      </c>
      <c r="L519" s="34"/>
      <c r="M519" s="34">
        <v>0</v>
      </c>
      <c r="N519" s="34"/>
      <c r="O519" s="34">
        <v>7219</v>
      </c>
      <c r="P519" s="34"/>
      <c r="Q519" s="34">
        <v>21135</v>
      </c>
      <c r="R519" s="34"/>
      <c r="S519" s="34">
        <v>28383</v>
      </c>
      <c r="T519" s="34"/>
      <c r="U519" s="34">
        <v>0</v>
      </c>
      <c r="V519" s="34"/>
      <c r="W519" s="34">
        <v>0</v>
      </c>
      <c r="X519" s="34"/>
      <c r="Y519" s="34">
        <v>0</v>
      </c>
      <c r="Z519" s="32"/>
      <c r="AA519" s="34">
        <v>0</v>
      </c>
      <c r="AB519" s="34"/>
      <c r="AC519" s="34">
        <v>0</v>
      </c>
      <c r="AD519" s="34"/>
      <c r="AE519" s="33">
        <f t="shared" si="7"/>
        <v>82376</v>
      </c>
    </row>
    <row r="520" spans="1:31" ht="12.75" customHeight="1">
      <c r="A520" s="1" t="s">
        <v>365</v>
      </c>
      <c r="C520" s="1" t="s">
        <v>67</v>
      </c>
      <c r="E520" s="34">
        <v>160327</v>
      </c>
      <c r="F520" s="34"/>
      <c r="G520" s="34">
        <v>0</v>
      </c>
      <c r="H520" s="34"/>
      <c r="I520" s="34">
        <v>0</v>
      </c>
      <c r="J520" s="34"/>
      <c r="K520" s="34">
        <v>0</v>
      </c>
      <c r="L520" s="34"/>
      <c r="M520" s="34">
        <v>0</v>
      </c>
      <c r="N520" s="34"/>
      <c r="O520" s="34">
        <v>0</v>
      </c>
      <c r="P520" s="34"/>
      <c r="Q520" s="34">
        <v>52519</v>
      </c>
      <c r="R520" s="34"/>
      <c r="S520" s="34">
        <v>1378</v>
      </c>
      <c r="T520" s="34"/>
      <c r="U520" s="34">
        <v>0</v>
      </c>
      <c r="V520" s="34"/>
      <c r="W520" s="34">
        <v>0</v>
      </c>
      <c r="X520" s="34"/>
      <c r="Y520" s="34">
        <v>0</v>
      </c>
      <c r="Z520" s="34"/>
      <c r="AA520" s="34">
        <v>0</v>
      </c>
      <c r="AB520" s="32"/>
      <c r="AC520" s="34">
        <v>0</v>
      </c>
      <c r="AD520" s="34"/>
      <c r="AE520" s="33">
        <f t="shared" si="7"/>
        <v>214224</v>
      </c>
    </row>
    <row r="521" spans="1:31" ht="12.75" customHeight="1">
      <c r="A521" s="1" t="s">
        <v>366</v>
      </c>
      <c r="C521" s="1" t="s">
        <v>78</v>
      </c>
      <c r="E521" s="34">
        <v>13790</v>
      </c>
      <c r="F521" s="34"/>
      <c r="G521" s="34">
        <v>511</v>
      </c>
      <c r="H521" s="34"/>
      <c r="I521" s="34">
        <v>109</v>
      </c>
      <c r="J521" s="34"/>
      <c r="K521" s="34">
        <v>0</v>
      </c>
      <c r="L521" s="34"/>
      <c r="M521" s="34">
        <v>38082</v>
      </c>
      <c r="N521" s="34"/>
      <c r="O521" s="34">
        <v>0</v>
      </c>
      <c r="P521" s="34"/>
      <c r="Q521" s="34">
        <v>29655</v>
      </c>
      <c r="R521" s="34"/>
      <c r="S521" s="34">
        <v>0</v>
      </c>
      <c r="T521" s="34"/>
      <c r="U521" s="34">
        <v>0</v>
      </c>
      <c r="V521" s="34"/>
      <c r="W521" s="34">
        <v>0</v>
      </c>
      <c r="X521" s="34"/>
      <c r="Y521" s="34">
        <v>0</v>
      </c>
      <c r="Z521" s="34"/>
      <c r="AA521" s="34">
        <v>0</v>
      </c>
      <c r="AB521" s="32"/>
      <c r="AC521" s="34">
        <v>0</v>
      </c>
      <c r="AD521" s="34"/>
      <c r="AE521" s="33">
        <f t="shared" si="7"/>
        <v>82147</v>
      </c>
    </row>
    <row r="522" spans="1:31" ht="12.75" customHeight="1">
      <c r="A522" s="1" t="s">
        <v>367</v>
      </c>
      <c r="C522" s="1" t="s">
        <v>96</v>
      </c>
      <c r="E522" s="34">
        <v>9427</v>
      </c>
      <c r="F522" s="34"/>
      <c r="G522" s="34">
        <v>193</v>
      </c>
      <c r="H522" s="34"/>
      <c r="I522" s="34">
        <v>14193</v>
      </c>
      <c r="J522" s="34"/>
      <c r="K522" s="34">
        <v>28</v>
      </c>
      <c r="L522" s="34"/>
      <c r="M522" s="34">
        <v>2277</v>
      </c>
      <c r="N522" s="34"/>
      <c r="O522" s="34">
        <v>0</v>
      </c>
      <c r="P522" s="34"/>
      <c r="Q522" s="34">
        <v>19683</v>
      </c>
      <c r="R522" s="34"/>
      <c r="S522" s="34">
        <v>8710</v>
      </c>
      <c r="T522" s="34"/>
      <c r="U522" s="34">
        <v>0</v>
      </c>
      <c r="V522" s="34"/>
      <c r="W522" s="34">
        <v>0</v>
      </c>
      <c r="X522" s="34"/>
      <c r="Y522" s="34">
        <v>0</v>
      </c>
      <c r="Z522" s="34"/>
      <c r="AA522" s="34">
        <v>0</v>
      </c>
      <c r="AB522" s="32"/>
      <c r="AC522" s="34">
        <v>0</v>
      </c>
      <c r="AD522" s="34"/>
      <c r="AE522" s="33">
        <f t="shared" si="7"/>
        <v>54511</v>
      </c>
    </row>
    <row r="523" spans="1:31" ht="12.75" customHeight="1">
      <c r="A523" s="1" t="s">
        <v>621</v>
      </c>
      <c r="C523" s="1" t="s">
        <v>369</v>
      </c>
      <c r="E523" s="34">
        <v>11002</v>
      </c>
      <c r="F523" s="34"/>
      <c r="G523" s="34">
        <v>0</v>
      </c>
      <c r="H523" s="34"/>
      <c r="I523" s="34">
        <v>6873</v>
      </c>
      <c r="J523" s="34"/>
      <c r="K523" s="34">
        <v>98</v>
      </c>
      <c r="L523" s="34"/>
      <c r="M523" s="34">
        <v>0</v>
      </c>
      <c r="N523" s="34"/>
      <c r="O523" s="34">
        <v>38416</v>
      </c>
      <c r="P523" s="34"/>
      <c r="Q523" s="34">
        <v>78665</v>
      </c>
      <c r="R523" s="34"/>
      <c r="S523" s="34">
        <v>0</v>
      </c>
      <c r="T523" s="34"/>
      <c r="U523" s="34">
        <v>0</v>
      </c>
      <c r="V523" s="34"/>
      <c r="W523" s="34">
        <v>0</v>
      </c>
      <c r="X523" s="34"/>
      <c r="Y523" s="34">
        <v>0</v>
      </c>
      <c r="Z523" s="32"/>
      <c r="AA523" s="34">
        <v>0</v>
      </c>
      <c r="AB523" s="34"/>
      <c r="AC523" s="34">
        <v>0</v>
      </c>
      <c r="AD523" s="34"/>
      <c r="AE523" s="33">
        <f t="shared" si="7"/>
        <v>135054</v>
      </c>
    </row>
    <row r="524" spans="1:31" ht="12.75" customHeight="1">
      <c r="A524" s="1" t="s">
        <v>534</v>
      </c>
      <c r="C524" s="1" t="s">
        <v>98</v>
      </c>
      <c r="E524" s="34">
        <v>1736</v>
      </c>
      <c r="F524" s="34"/>
      <c r="G524" s="34">
        <v>665</v>
      </c>
      <c r="H524" s="34"/>
      <c r="I524" s="34">
        <v>607</v>
      </c>
      <c r="J524" s="34"/>
      <c r="K524" s="34">
        <v>54</v>
      </c>
      <c r="L524" s="34"/>
      <c r="M524" s="34">
        <v>3011</v>
      </c>
      <c r="N524" s="34"/>
      <c r="O524" s="34">
        <v>92</v>
      </c>
      <c r="P524" s="34"/>
      <c r="Q524" s="34">
        <v>17263</v>
      </c>
      <c r="R524" s="34"/>
      <c r="S524" s="34">
        <v>0</v>
      </c>
      <c r="T524" s="34"/>
      <c r="U524" s="34">
        <v>0</v>
      </c>
      <c r="V524" s="34"/>
      <c r="W524" s="34">
        <v>0</v>
      </c>
      <c r="X524" s="34"/>
      <c r="Y524" s="34">
        <v>274</v>
      </c>
      <c r="Z524" s="32"/>
      <c r="AA524" s="34">
        <v>328</v>
      </c>
      <c r="AB524" s="34"/>
      <c r="AC524" s="34">
        <v>0</v>
      </c>
      <c r="AD524" s="34"/>
      <c r="AE524" s="33">
        <f t="shared" si="7"/>
        <v>24030</v>
      </c>
    </row>
    <row r="525" spans="1:31" ht="12.75" customHeight="1">
      <c r="A525" s="1" t="s">
        <v>368</v>
      </c>
      <c r="C525" s="1" t="s">
        <v>369</v>
      </c>
      <c r="E525" s="34">
        <v>38209</v>
      </c>
      <c r="F525" s="34"/>
      <c r="G525" s="34">
        <v>0</v>
      </c>
      <c r="H525" s="34"/>
      <c r="I525" s="34">
        <v>0</v>
      </c>
      <c r="J525" s="34"/>
      <c r="K525" s="34">
        <v>16574</v>
      </c>
      <c r="L525" s="34"/>
      <c r="M525" s="34">
        <v>0</v>
      </c>
      <c r="N525" s="34"/>
      <c r="O525" s="34">
        <v>432</v>
      </c>
      <c r="P525" s="34"/>
      <c r="Q525" s="34">
        <v>116802</v>
      </c>
      <c r="R525" s="34"/>
      <c r="S525" s="34">
        <v>0</v>
      </c>
      <c r="T525" s="34"/>
      <c r="U525" s="34">
        <v>0</v>
      </c>
      <c r="V525" s="34"/>
      <c r="W525" s="34">
        <v>0</v>
      </c>
      <c r="X525" s="34"/>
      <c r="Y525" s="34">
        <v>0</v>
      </c>
      <c r="Z525" s="34"/>
      <c r="AA525" s="34">
        <v>0</v>
      </c>
      <c r="AB525" s="32"/>
      <c r="AC525" s="34">
        <v>0</v>
      </c>
      <c r="AD525" s="34"/>
      <c r="AE525" s="33">
        <f t="shared" si="7"/>
        <v>172017</v>
      </c>
    </row>
    <row r="526" spans="1:31" ht="12.75" customHeight="1">
      <c r="A526" s="1" t="s">
        <v>370</v>
      </c>
      <c r="C526" s="1" t="s">
        <v>131</v>
      </c>
      <c r="E526" s="34">
        <v>29396</v>
      </c>
      <c r="F526" s="34"/>
      <c r="G526" s="34">
        <v>3354</v>
      </c>
      <c r="H526" s="34"/>
      <c r="I526" s="34">
        <v>10025</v>
      </c>
      <c r="J526" s="34"/>
      <c r="K526" s="34">
        <v>912</v>
      </c>
      <c r="L526" s="34"/>
      <c r="M526" s="34">
        <v>4946</v>
      </c>
      <c r="N526" s="34"/>
      <c r="O526" s="34">
        <v>0</v>
      </c>
      <c r="P526" s="34"/>
      <c r="Q526" s="34">
        <v>126981</v>
      </c>
      <c r="R526" s="34"/>
      <c r="S526" s="34">
        <v>0</v>
      </c>
      <c r="T526" s="34"/>
      <c r="U526" s="34">
        <v>5418</v>
      </c>
      <c r="V526" s="34"/>
      <c r="W526" s="34">
        <v>0</v>
      </c>
      <c r="X526" s="34"/>
      <c r="Y526" s="34">
        <v>0</v>
      </c>
      <c r="Z526" s="34"/>
      <c r="AA526" s="34">
        <v>0</v>
      </c>
      <c r="AB526" s="32"/>
      <c r="AC526" s="34">
        <v>0</v>
      </c>
      <c r="AD526" s="34"/>
      <c r="AE526" s="33">
        <f t="shared" si="7"/>
        <v>181032</v>
      </c>
    </row>
    <row r="527" spans="1:31" ht="12.75" customHeight="1">
      <c r="A527" s="1" t="s">
        <v>371</v>
      </c>
      <c r="C527" s="1" t="s">
        <v>372</v>
      </c>
      <c r="E527" s="34">
        <v>20893</v>
      </c>
      <c r="F527" s="34"/>
      <c r="G527" s="34">
        <v>0</v>
      </c>
      <c r="H527" s="34"/>
      <c r="I527" s="34">
        <v>13400</v>
      </c>
      <c r="J527" s="34"/>
      <c r="K527" s="34">
        <v>0</v>
      </c>
      <c r="L527" s="34"/>
      <c r="M527" s="34">
        <v>0</v>
      </c>
      <c r="N527" s="34"/>
      <c r="O527" s="34">
        <v>0</v>
      </c>
      <c r="P527" s="34"/>
      <c r="Q527" s="34">
        <v>49800</v>
      </c>
      <c r="R527" s="34"/>
      <c r="S527" s="34">
        <v>12800</v>
      </c>
      <c r="T527" s="34"/>
      <c r="U527" s="34">
        <v>1056</v>
      </c>
      <c r="V527" s="34"/>
      <c r="W527" s="34">
        <v>192</v>
      </c>
      <c r="X527" s="34"/>
      <c r="Y527" s="34">
        <v>0</v>
      </c>
      <c r="Z527" s="34"/>
      <c r="AA527" s="34">
        <v>0</v>
      </c>
      <c r="AB527" s="32"/>
      <c r="AC527" s="34">
        <v>0</v>
      </c>
      <c r="AD527" s="34"/>
      <c r="AE527" s="33">
        <f t="shared" si="7"/>
        <v>98141</v>
      </c>
    </row>
    <row r="528" spans="1:31" ht="12.75" customHeight="1">
      <c r="A528" s="1" t="s">
        <v>503</v>
      </c>
      <c r="C528" s="1" t="s">
        <v>122</v>
      </c>
      <c r="E528" s="34">
        <v>252974</v>
      </c>
      <c r="F528" s="34"/>
      <c r="G528" s="34">
        <v>0</v>
      </c>
      <c r="H528" s="34"/>
      <c r="I528" s="34">
        <v>365</v>
      </c>
      <c r="J528" s="34"/>
      <c r="K528" s="34">
        <v>0</v>
      </c>
      <c r="L528" s="34"/>
      <c r="M528" s="34">
        <v>0</v>
      </c>
      <c r="N528" s="34"/>
      <c r="O528" s="34">
        <v>0</v>
      </c>
      <c r="P528" s="34"/>
      <c r="Q528" s="34">
        <v>102979</v>
      </c>
      <c r="R528" s="34"/>
      <c r="S528" s="34">
        <v>0</v>
      </c>
      <c r="T528" s="34"/>
      <c r="U528" s="34">
        <v>0</v>
      </c>
      <c r="V528" s="34"/>
      <c r="W528" s="34">
        <v>0</v>
      </c>
      <c r="X528" s="34"/>
      <c r="Y528" s="34">
        <v>0</v>
      </c>
      <c r="Z528" s="32"/>
      <c r="AA528" s="34">
        <v>0</v>
      </c>
      <c r="AB528" s="34"/>
      <c r="AC528" s="34">
        <v>3786</v>
      </c>
      <c r="AD528" s="34"/>
      <c r="AE528" s="33">
        <f t="shared" si="7"/>
        <v>360104</v>
      </c>
    </row>
    <row r="529" spans="1:31" ht="12.75" customHeight="1">
      <c r="A529" s="1" t="s">
        <v>653</v>
      </c>
      <c r="C529" s="1" t="s">
        <v>167</v>
      </c>
      <c r="E529" s="34">
        <v>191427</v>
      </c>
      <c r="F529" s="34"/>
      <c r="G529" s="34">
        <v>6000</v>
      </c>
      <c r="H529" s="34"/>
      <c r="I529" s="34">
        <v>0</v>
      </c>
      <c r="J529" s="34"/>
      <c r="K529" s="34">
        <v>0</v>
      </c>
      <c r="L529" s="34"/>
      <c r="M529" s="34">
        <v>0</v>
      </c>
      <c r="N529" s="34"/>
      <c r="O529" s="34">
        <v>26621</v>
      </c>
      <c r="P529" s="34"/>
      <c r="Q529" s="34">
        <v>18113</v>
      </c>
      <c r="R529" s="34"/>
      <c r="S529" s="34">
        <v>58000</v>
      </c>
      <c r="T529" s="34"/>
      <c r="U529" s="34">
        <v>0</v>
      </c>
      <c r="V529" s="34"/>
      <c r="W529" s="34">
        <v>0</v>
      </c>
      <c r="X529" s="34"/>
      <c r="Y529" s="34">
        <v>0</v>
      </c>
      <c r="Z529" s="32"/>
      <c r="AA529" s="34">
        <v>0</v>
      </c>
      <c r="AB529" s="34"/>
      <c r="AC529" s="34">
        <v>0</v>
      </c>
      <c r="AD529" s="34"/>
      <c r="AE529" s="33">
        <f aca="true" t="shared" si="8" ref="AE529:AE593">SUM(E529:AC529)</f>
        <v>300161</v>
      </c>
    </row>
    <row r="530" spans="1:31" ht="12.75" customHeight="1">
      <c r="A530" s="1" t="s">
        <v>561</v>
      </c>
      <c r="C530" s="1" t="s">
        <v>199</v>
      </c>
      <c r="E530" s="34">
        <v>198</v>
      </c>
      <c r="F530" s="34"/>
      <c r="G530" s="34">
        <v>157</v>
      </c>
      <c r="H530" s="34"/>
      <c r="I530" s="34">
        <v>2547</v>
      </c>
      <c r="J530" s="34"/>
      <c r="K530" s="34">
        <v>0</v>
      </c>
      <c r="L530" s="34"/>
      <c r="M530" s="34">
        <v>335</v>
      </c>
      <c r="N530" s="34"/>
      <c r="O530" s="34">
        <v>0</v>
      </c>
      <c r="P530" s="34"/>
      <c r="Q530" s="34">
        <v>7048</v>
      </c>
      <c r="R530" s="34"/>
      <c r="S530" s="34">
        <v>0</v>
      </c>
      <c r="T530" s="34"/>
      <c r="U530" s="34">
        <v>0</v>
      </c>
      <c r="V530" s="34"/>
      <c r="W530" s="34">
        <v>0</v>
      </c>
      <c r="X530" s="34"/>
      <c r="Y530" s="34">
        <v>0</v>
      </c>
      <c r="Z530" s="32"/>
      <c r="AA530" s="34">
        <v>0</v>
      </c>
      <c r="AB530" s="34"/>
      <c r="AC530" s="34">
        <v>0</v>
      </c>
      <c r="AD530" s="34"/>
      <c r="AE530" s="33">
        <f t="shared" si="8"/>
        <v>10285</v>
      </c>
    </row>
    <row r="531" spans="1:31" ht="12.75" customHeight="1">
      <c r="A531" s="1" t="s">
        <v>509</v>
      </c>
      <c r="C531" s="1" t="s">
        <v>414</v>
      </c>
      <c r="E531" s="34">
        <v>121925</v>
      </c>
      <c r="F531" s="34"/>
      <c r="G531" s="34">
        <v>0</v>
      </c>
      <c r="H531" s="34"/>
      <c r="I531" s="34">
        <v>0</v>
      </c>
      <c r="J531" s="34"/>
      <c r="K531" s="34">
        <v>0</v>
      </c>
      <c r="L531" s="34"/>
      <c r="M531" s="34">
        <v>0</v>
      </c>
      <c r="N531" s="34"/>
      <c r="O531" s="34">
        <v>0</v>
      </c>
      <c r="P531" s="34"/>
      <c r="Q531" s="34">
        <v>98535</v>
      </c>
      <c r="R531" s="34"/>
      <c r="S531" s="34">
        <v>0</v>
      </c>
      <c r="T531" s="34"/>
      <c r="U531" s="34">
        <v>4530</v>
      </c>
      <c r="V531" s="34"/>
      <c r="W531" s="34">
        <v>875</v>
      </c>
      <c r="X531" s="34"/>
      <c r="Y531" s="34">
        <v>7193</v>
      </c>
      <c r="Z531" s="32"/>
      <c r="AA531" s="34">
        <v>0</v>
      </c>
      <c r="AB531" s="34"/>
      <c r="AC531" s="34">
        <v>114</v>
      </c>
      <c r="AD531" s="34"/>
      <c r="AE531" s="33">
        <f t="shared" si="8"/>
        <v>233172</v>
      </c>
    </row>
    <row r="532" spans="1:31" ht="12.75" customHeight="1">
      <c r="A532" s="1" t="s">
        <v>373</v>
      </c>
      <c r="C532" s="1" t="s">
        <v>104</v>
      </c>
      <c r="E532" s="34">
        <v>3975</v>
      </c>
      <c r="F532" s="34"/>
      <c r="G532" s="34">
        <v>0</v>
      </c>
      <c r="H532" s="34"/>
      <c r="I532" s="34">
        <v>0</v>
      </c>
      <c r="J532" s="34"/>
      <c r="K532" s="34">
        <v>0</v>
      </c>
      <c r="L532" s="34"/>
      <c r="M532" s="34">
        <v>0</v>
      </c>
      <c r="N532" s="34"/>
      <c r="O532" s="34">
        <v>0</v>
      </c>
      <c r="P532" s="34"/>
      <c r="Q532" s="34">
        <v>12195</v>
      </c>
      <c r="R532" s="34"/>
      <c r="S532" s="34">
        <v>0</v>
      </c>
      <c r="T532" s="34"/>
      <c r="U532" s="34">
        <v>0</v>
      </c>
      <c r="V532" s="34"/>
      <c r="W532" s="34">
        <v>0</v>
      </c>
      <c r="X532" s="34"/>
      <c r="Y532" s="34">
        <v>0</v>
      </c>
      <c r="Z532" s="34"/>
      <c r="AA532" s="34">
        <v>0</v>
      </c>
      <c r="AB532" s="32"/>
      <c r="AC532" s="34">
        <v>0</v>
      </c>
      <c r="AD532" s="34"/>
      <c r="AE532" s="33">
        <f t="shared" si="8"/>
        <v>16170</v>
      </c>
    </row>
    <row r="533" spans="1:31" ht="12.75" customHeight="1">
      <c r="A533" s="1" t="s">
        <v>477</v>
      </c>
      <c r="C533" s="1" t="s">
        <v>246</v>
      </c>
      <c r="E533" s="34">
        <v>8375</v>
      </c>
      <c r="F533" s="34"/>
      <c r="G533" s="34">
        <v>2200</v>
      </c>
      <c r="H533" s="34"/>
      <c r="I533" s="34">
        <v>0</v>
      </c>
      <c r="J533" s="34"/>
      <c r="K533" s="34">
        <v>0</v>
      </c>
      <c r="L533" s="34"/>
      <c r="M533" s="34">
        <v>0</v>
      </c>
      <c r="N533" s="34"/>
      <c r="O533" s="34">
        <v>0</v>
      </c>
      <c r="P533" s="34"/>
      <c r="Q533" s="34">
        <v>57074</v>
      </c>
      <c r="R533" s="34"/>
      <c r="S533" s="34">
        <v>0</v>
      </c>
      <c r="T533" s="34"/>
      <c r="U533" s="34">
        <v>75000</v>
      </c>
      <c r="V533" s="34"/>
      <c r="W533" s="34">
        <v>1678</v>
      </c>
      <c r="X533" s="34"/>
      <c r="Y533" s="34">
        <v>37600</v>
      </c>
      <c r="Z533" s="32"/>
      <c r="AA533" s="34">
        <v>0</v>
      </c>
      <c r="AB533" s="34"/>
      <c r="AC533" s="34">
        <v>0</v>
      </c>
      <c r="AD533" s="34"/>
      <c r="AE533" s="33">
        <f t="shared" si="8"/>
        <v>181927</v>
      </c>
    </row>
    <row r="534" spans="1:31" ht="12.75" customHeight="1">
      <c r="A534" s="1" t="s">
        <v>374</v>
      </c>
      <c r="C534" s="30" t="s">
        <v>92</v>
      </c>
      <c r="E534" s="34">
        <v>12388</v>
      </c>
      <c r="F534" s="34"/>
      <c r="G534" s="34">
        <v>0</v>
      </c>
      <c r="H534" s="34"/>
      <c r="I534" s="34">
        <v>670</v>
      </c>
      <c r="J534" s="34"/>
      <c r="K534" s="34">
        <v>279</v>
      </c>
      <c r="L534" s="34"/>
      <c r="M534" s="34">
        <v>1475</v>
      </c>
      <c r="N534" s="34"/>
      <c r="O534" s="34">
        <v>0</v>
      </c>
      <c r="P534" s="34"/>
      <c r="Q534" s="34">
        <v>26897</v>
      </c>
      <c r="R534" s="34"/>
      <c r="S534" s="34">
        <v>0</v>
      </c>
      <c r="T534" s="34"/>
      <c r="U534" s="34">
        <v>0</v>
      </c>
      <c r="V534" s="34"/>
      <c r="W534" s="34">
        <v>0</v>
      </c>
      <c r="X534" s="34"/>
      <c r="Y534" s="34">
        <v>0</v>
      </c>
      <c r="Z534" s="34"/>
      <c r="AA534" s="34">
        <v>0</v>
      </c>
      <c r="AB534" s="32"/>
      <c r="AC534" s="34">
        <v>0</v>
      </c>
      <c r="AD534" s="34"/>
      <c r="AE534" s="33">
        <f t="shared" si="8"/>
        <v>41709</v>
      </c>
    </row>
    <row r="535" spans="1:31" ht="12.75" customHeight="1">
      <c r="A535" s="1" t="s">
        <v>375</v>
      </c>
      <c r="C535" s="1" t="s">
        <v>133</v>
      </c>
      <c r="E535" s="34">
        <v>8718</v>
      </c>
      <c r="F535" s="34"/>
      <c r="G535" s="34">
        <v>442</v>
      </c>
      <c r="H535" s="34"/>
      <c r="I535" s="34">
        <v>0</v>
      </c>
      <c r="J535" s="34"/>
      <c r="K535" s="34">
        <v>0</v>
      </c>
      <c r="L535" s="34"/>
      <c r="M535" s="34">
        <v>0</v>
      </c>
      <c r="N535" s="34"/>
      <c r="O535" s="34">
        <v>0</v>
      </c>
      <c r="P535" s="34"/>
      <c r="Q535" s="34">
        <v>53019</v>
      </c>
      <c r="R535" s="34"/>
      <c r="S535" s="34">
        <v>0</v>
      </c>
      <c r="T535" s="34"/>
      <c r="U535" s="34">
        <v>0</v>
      </c>
      <c r="V535" s="34"/>
      <c r="W535" s="34">
        <v>0</v>
      </c>
      <c r="X535" s="34"/>
      <c r="Y535" s="34">
        <v>0</v>
      </c>
      <c r="Z535" s="34"/>
      <c r="AA535" s="34">
        <v>15756</v>
      </c>
      <c r="AB535" s="32"/>
      <c r="AC535" s="34">
        <v>2429</v>
      </c>
      <c r="AD535" s="34"/>
      <c r="AE535" s="33">
        <f t="shared" si="8"/>
        <v>80364</v>
      </c>
    </row>
    <row r="536" spans="1:31" ht="12.75" customHeight="1">
      <c r="A536" s="1" t="s">
        <v>376</v>
      </c>
      <c r="C536" s="30" t="s">
        <v>346</v>
      </c>
      <c r="E536" s="34">
        <v>96260</v>
      </c>
      <c r="F536" s="34"/>
      <c r="G536" s="34">
        <v>2887</v>
      </c>
      <c r="H536" s="34"/>
      <c r="I536" s="34">
        <v>0</v>
      </c>
      <c r="J536" s="34"/>
      <c r="K536" s="34">
        <v>0</v>
      </c>
      <c r="L536" s="34"/>
      <c r="M536" s="34">
        <v>0</v>
      </c>
      <c r="N536" s="34"/>
      <c r="O536" s="34">
        <v>0</v>
      </c>
      <c r="P536" s="34"/>
      <c r="Q536" s="34">
        <v>58888</v>
      </c>
      <c r="R536" s="34"/>
      <c r="S536" s="34">
        <v>0</v>
      </c>
      <c r="T536" s="34"/>
      <c r="U536" s="34">
        <v>0</v>
      </c>
      <c r="V536" s="34"/>
      <c r="W536" s="34">
        <v>383</v>
      </c>
      <c r="X536" s="34"/>
      <c r="Y536" s="34">
        <v>0</v>
      </c>
      <c r="Z536" s="34"/>
      <c r="AA536" s="34">
        <v>7000</v>
      </c>
      <c r="AB536" s="32"/>
      <c r="AC536" s="34">
        <v>0</v>
      </c>
      <c r="AD536" s="34"/>
      <c r="AE536" s="33">
        <f t="shared" si="8"/>
        <v>165418</v>
      </c>
    </row>
    <row r="537" spans="1:31" ht="12.75" customHeight="1">
      <c r="A537" s="1" t="s">
        <v>377</v>
      </c>
      <c r="C537" s="1" t="s">
        <v>378</v>
      </c>
      <c r="E537" s="34">
        <v>618510</v>
      </c>
      <c r="F537" s="34"/>
      <c r="G537" s="34">
        <v>12706</v>
      </c>
      <c r="H537" s="34"/>
      <c r="I537" s="34">
        <v>29299</v>
      </c>
      <c r="J537" s="34"/>
      <c r="K537" s="34">
        <v>0</v>
      </c>
      <c r="L537" s="34"/>
      <c r="M537" s="34">
        <v>0</v>
      </c>
      <c r="N537" s="34"/>
      <c r="O537" s="34">
        <v>0</v>
      </c>
      <c r="P537" s="34"/>
      <c r="Q537" s="34">
        <v>615102</v>
      </c>
      <c r="R537" s="34"/>
      <c r="S537" s="34">
        <v>97475</v>
      </c>
      <c r="T537" s="34"/>
      <c r="U537" s="34">
        <v>0</v>
      </c>
      <c r="V537" s="34"/>
      <c r="W537" s="34">
        <v>0</v>
      </c>
      <c r="X537" s="34"/>
      <c r="Y537" s="34">
        <v>194906</v>
      </c>
      <c r="Z537" s="34"/>
      <c r="AA537" s="34">
        <v>0</v>
      </c>
      <c r="AB537" s="32"/>
      <c r="AC537" s="34">
        <v>0</v>
      </c>
      <c r="AD537" s="34"/>
      <c r="AE537" s="33">
        <f t="shared" si="8"/>
        <v>1567998</v>
      </c>
    </row>
    <row r="538" spans="1:31" ht="12.75" customHeight="1">
      <c r="A538" s="1" t="s">
        <v>562</v>
      </c>
      <c r="C538" s="1" t="s">
        <v>199</v>
      </c>
      <c r="E538" s="34">
        <v>8880</v>
      </c>
      <c r="F538" s="34"/>
      <c r="G538" s="34">
        <v>46</v>
      </c>
      <c r="H538" s="34"/>
      <c r="I538" s="34">
        <v>4838</v>
      </c>
      <c r="J538" s="34"/>
      <c r="K538" s="34">
        <v>0</v>
      </c>
      <c r="L538" s="34"/>
      <c r="M538" s="34">
        <v>0</v>
      </c>
      <c r="N538" s="34"/>
      <c r="O538" s="34">
        <v>0</v>
      </c>
      <c r="P538" s="34"/>
      <c r="Q538" s="34">
        <v>20340</v>
      </c>
      <c r="R538" s="34"/>
      <c r="S538" s="34">
        <v>0</v>
      </c>
      <c r="T538" s="34"/>
      <c r="U538" s="34">
        <v>0</v>
      </c>
      <c r="V538" s="34"/>
      <c r="W538" s="34">
        <v>0</v>
      </c>
      <c r="X538" s="34"/>
      <c r="Y538" s="34">
        <v>2632</v>
      </c>
      <c r="Z538" s="32"/>
      <c r="AA538" s="34">
        <v>0</v>
      </c>
      <c r="AB538" s="34"/>
      <c r="AC538" s="34">
        <v>0</v>
      </c>
      <c r="AD538" s="34"/>
      <c r="AE538" s="33">
        <f t="shared" si="8"/>
        <v>36736</v>
      </c>
    </row>
    <row r="539" spans="1:31" ht="12.75" customHeight="1">
      <c r="A539" s="1" t="s">
        <v>479</v>
      </c>
      <c r="C539" s="1" t="s">
        <v>146</v>
      </c>
      <c r="E539" s="34">
        <v>43983</v>
      </c>
      <c r="F539" s="34"/>
      <c r="G539" s="34">
        <v>272</v>
      </c>
      <c r="H539" s="34"/>
      <c r="I539" s="34">
        <v>2870</v>
      </c>
      <c r="J539" s="34"/>
      <c r="K539" s="34">
        <v>32</v>
      </c>
      <c r="L539" s="34"/>
      <c r="M539" s="34">
        <v>0</v>
      </c>
      <c r="N539" s="34"/>
      <c r="O539" s="34">
        <v>0</v>
      </c>
      <c r="P539" s="34"/>
      <c r="Q539" s="34">
        <v>72038</v>
      </c>
      <c r="R539" s="34"/>
      <c r="S539" s="34">
        <v>1430</v>
      </c>
      <c r="T539" s="34"/>
      <c r="U539" s="34">
        <v>0</v>
      </c>
      <c r="V539" s="34"/>
      <c r="W539" s="34">
        <v>0</v>
      </c>
      <c r="X539" s="34"/>
      <c r="Y539" s="34">
        <v>1939</v>
      </c>
      <c r="Z539" s="32"/>
      <c r="AA539" s="34">
        <v>0</v>
      </c>
      <c r="AB539" s="34"/>
      <c r="AC539" s="34">
        <v>0</v>
      </c>
      <c r="AD539" s="34"/>
      <c r="AE539" s="33">
        <f t="shared" si="8"/>
        <v>122564</v>
      </c>
    </row>
    <row r="540" spans="1:31" ht="12.75" customHeight="1">
      <c r="A540" s="1" t="s">
        <v>643</v>
      </c>
      <c r="C540" s="1" t="s">
        <v>274</v>
      </c>
      <c r="E540" s="34">
        <v>0</v>
      </c>
      <c r="F540" s="34"/>
      <c r="G540" s="34">
        <v>987</v>
      </c>
      <c r="H540" s="34"/>
      <c r="I540" s="34">
        <v>96290</v>
      </c>
      <c r="J540" s="34"/>
      <c r="K540" s="34">
        <v>29406</v>
      </c>
      <c r="L540" s="34"/>
      <c r="M540" s="34">
        <v>0</v>
      </c>
      <c r="N540" s="34"/>
      <c r="O540" s="34">
        <v>0</v>
      </c>
      <c r="P540" s="34"/>
      <c r="Q540" s="34">
        <v>375517</v>
      </c>
      <c r="R540" s="34"/>
      <c r="S540" s="34">
        <v>24957</v>
      </c>
      <c r="T540" s="34"/>
      <c r="U540" s="34">
        <v>23000</v>
      </c>
      <c r="V540" s="34"/>
      <c r="W540" s="34">
        <v>1787</v>
      </c>
      <c r="X540" s="34"/>
      <c r="Y540" s="34">
        <v>1026129</v>
      </c>
      <c r="Z540" s="32"/>
      <c r="AA540" s="34">
        <v>0</v>
      </c>
      <c r="AB540" s="34"/>
      <c r="AC540" s="34">
        <v>455</v>
      </c>
      <c r="AD540" s="34"/>
      <c r="AE540" s="33">
        <f t="shared" si="8"/>
        <v>1578528</v>
      </c>
    </row>
    <row r="541" spans="1:31" ht="12.75" customHeight="1">
      <c r="A541" s="1" t="s">
        <v>471</v>
      </c>
      <c r="C541" s="1" t="s">
        <v>100</v>
      </c>
      <c r="E541" s="34">
        <v>306119</v>
      </c>
      <c r="F541" s="34"/>
      <c r="G541" s="34">
        <v>14406</v>
      </c>
      <c r="H541" s="34"/>
      <c r="I541" s="34">
        <v>54686</v>
      </c>
      <c r="J541" s="34"/>
      <c r="K541" s="34">
        <v>1029</v>
      </c>
      <c r="L541" s="34"/>
      <c r="M541" s="34">
        <v>0</v>
      </c>
      <c r="N541" s="34"/>
      <c r="O541" s="34">
        <v>88540</v>
      </c>
      <c r="P541" s="34"/>
      <c r="Q541" s="34">
        <v>184186</v>
      </c>
      <c r="R541" s="34"/>
      <c r="S541" s="34">
        <v>0</v>
      </c>
      <c r="T541" s="34"/>
      <c r="U541" s="34">
        <v>5569</v>
      </c>
      <c r="V541" s="34"/>
      <c r="W541" s="34">
        <v>2600</v>
      </c>
      <c r="X541" s="34"/>
      <c r="Y541" s="34">
        <v>0</v>
      </c>
      <c r="Z541" s="32"/>
      <c r="AA541" s="34">
        <v>0</v>
      </c>
      <c r="AB541" s="34"/>
      <c r="AC541" s="34">
        <v>368</v>
      </c>
      <c r="AD541" s="34"/>
      <c r="AE541" s="33">
        <f t="shared" si="8"/>
        <v>657503</v>
      </c>
    </row>
    <row r="542" spans="1:31" ht="12.75" customHeight="1">
      <c r="A542" s="1" t="s">
        <v>684</v>
      </c>
      <c r="C542" s="1" t="s">
        <v>179</v>
      </c>
      <c r="E542" s="34">
        <v>44453</v>
      </c>
      <c r="F542" s="34"/>
      <c r="G542" s="34">
        <v>389</v>
      </c>
      <c r="H542" s="34"/>
      <c r="I542" s="34">
        <v>0</v>
      </c>
      <c r="J542" s="34"/>
      <c r="K542" s="34">
        <v>0</v>
      </c>
      <c r="L542" s="34"/>
      <c r="M542" s="34">
        <v>0</v>
      </c>
      <c r="N542" s="34"/>
      <c r="O542" s="34">
        <v>4642</v>
      </c>
      <c r="P542" s="34"/>
      <c r="Q542" s="34">
        <v>42120</v>
      </c>
      <c r="R542" s="34"/>
      <c r="S542" s="34">
        <v>0</v>
      </c>
      <c r="T542" s="34"/>
      <c r="U542" s="34">
        <v>0</v>
      </c>
      <c r="V542" s="34"/>
      <c r="W542" s="34">
        <v>0</v>
      </c>
      <c r="X542" s="34"/>
      <c r="Y542" s="34">
        <v>0</v>
      </c>
      <c r="Z542" s="32"/>
      <c r="AA542" s="34">
        <v>0</v>
      </c>
      <c r="AB542" s="34"/>
      <c r="AC542" s="34">
        <v>0</v>
      </c>
      <c r="AD542" s="34"/>
      <c r="AE542" s="33">
        <f t="shared" si="8"/>
        <v>91604</v>
      </c>
    </row>
    <row r="543" spans="1:31" ht="12.75" customHeight="1">
      <c r="A543" s="1" t="s">
        <v>379</v>
      </c>
      <c r="C543" s="1" t="s">
        <v>228</v>
      </c>
      <c r="E543" s="34">
        <v>2523322</v>
      </c>
      <c r="F543" s="34"/>
      <c r="G543" s="34">
        <v>0</v>
      </c>
      <c r="H543" s="34"/>
      <c r="I543" s="34">
        <v>0</v>
      </c>
      <c r="J543" s="34"/>
      <c r="K543" s="34">
        <v>0</v>
      </c>
      <c r="L543" s="34"/>
      <c r="M543" s="34">
        <v>0</v>
      </c>
      <c r="N543" s="34"/>
      <c r="O543" s="34">
        <v>0</v>
      </c>
      <c r="P543" s="34"/>
      <c r="Q543" s="34">
        <v>689204</v>
      </c>
      <c r="R543" s="34"/>
      <c r="S543" s="34">
        <v>288268</v>
      </c>
      <c r="T543" s="34"/>
      <c r="U543" s="34">
        <v>0</v>
      </c>
      <c r="V543" s="34"/>
      <c r="W543" s="34">
        <v>0</v>
      </c>
      <c r="X543" s="34"/>
      <c r="Y543" s="34">
        <v>62500</v>
      </c>
      <c r="Z543" s="34"/>
      <c r="AA543" s="34">
        <v>0</v>
      </c>
      <c r="AB543" s="32"/>
      <c r="AC543" s="34">
        <v>118955</v>
      </c>
      <c r="AD543" s="34"/>
      <c r="AE543" s="33">
        <f t="shared" si="8"/>
        <v>3682249</v>
      </c>
    </row>
    <row r="544" spans="1:31" ht="12.75" customHeight="1">
      <c r="A544" s="1" t="s">
        <v>484</v>
      </c>
      <c r="C544" s="1" t="s">
        <v>153</v>
      </c>
      <c r="E544" s="34">
        <v>10168</v>
      </c>
      <c r="F544" s="34"/>
      <c r="G544" s="34">
        <v>0</v>
      </c>
      <c r="H544" s="34"/>
      <c r="I544" s="34">
        <v>0</v>
      </c>
      <c r="J544" s="34"/>
      <c r="K544" s="34">
        <v>0</v>
      </c>
      <c r="L544" s="34"/>
      <c r="M544" s="34">
        <v>6000</v>
      </c>
      <c r="N544" s="34"/>
      <c r="O544" s="34">
        <v>0</v>
      </c>
      <c r="P544" s="34"/>
      <c r="Q544" s="34">
        <v>11285</v>
      </c>
      <c r="R544" s="34"/>
      <c r="S544" s="34">
        <v>0</v>
      </c>
      <c r="T544" s="34"/>
      <c r="U544" s="34">
        <v>0</v>
      </c>
      <c r="V544" s="34"/>
      <c r="W544" s="34">
        <v>0</v>
      </c>
      <c r="X544" s="34"/>
      <c r="Y544" s="34">
        <v>0</v>
      </c>
      <c r="Z544" s="32"/>
      <c r="AA544" s="34">
        <v>0</v>
      </c>
      <c r="AB544" s="34"/>
      <c r="AC544" s="34">
        <v>44907</v>
      </c>
      <c r="AD544" s="34"/>
      <c r="AE544" s="33">
        <f t="shared" si="8"/>
        <v>72360</v>
      </c>
    </row>
    <row r="545" spans="1:31" ht="12.75" customHeight="1">
      <c r="A545" s="1" t="s">
        <v>525</v>
      </c>
      <c r="C545" s="1" t="s">
        <v>244</v>
      </c>
      <c r="E545" s="34">
        <v>37383</v>
      </c>
      <c r="F545" s="34"/>
      <c r="G545" s="34">
        <v>1500</v>
      </c>
      <c r="H545" s="34"/>
      <c r="I545" s="34">
        <v>2973</v>
      </c>
      <c r="J545" s="34"/>
      <c r="K545" s="34">
        <v>6686</v>
      </c>
      <c r="L545" s="34"/>
      <c r="M545" s="34">
        <v>974</v>
      </c>
      <c r="N545" s="34"/>
      <c r="O545" s="34">
        <v>0</v>
      </c>
      <c r="P545" s="34"/>
      <c r="Q545" s="34">
        <v>70016</v>
      </c>
      <c r="R545" s="34"/>
      <c r="S545" s="34">
        <v>752</v>
      </c>
      <c r="T545" s="34"/>
      <c r="U545" s="34">
        <v>4481</v>
      </c>
      <c r="V545" s="34"/>
      <c r="W545" s="34">
        <v>137</v>
      </c>
      <c r="X545" s="34"/>
      <c r="Y545" s="34">
        <v>8615</v>
      </c>
      <c r="Z545" s="32"/>
      <c r="AA545" s="34">
        <v>0</v>
      </c>
      <c r="AB545" s="34"/>
      <c r="AC545" s="34">
        <v>6</v>
      </c>
      <c r="AD545" s="34"/>
      <c r="AE545" s="33">
        <f t="shared" si="8"/>
        <v>133523</v>
      </c>
    </row>
    <row r="546" spans="1:31" ht="12.75" customHeight="1">
      <c r="A546" s="1" t="s">
        <v>380</v>
      </c>
      <c r="C546" s="1" t="s">
        <v>147</v>
      </c>
      <c r="E546" s="34">
        <v>12500</v>
      </c>
      <c r="F546" s="34"/>
      <c r="G546" s="34">
        <v>383</v>
      </c>
      <c r="H546" s="34"/>
      <c r="I546" s="34">
        <v>25672</v>
      </c>
      <c r="J546" s="34"/>
      <c r="K546" s="34">
        <v>1384</v>
      </c>
      <c r="L546" s="34"/>
      <c r="M546" s="34">
        <v>155</v>
      </c>
      <c r="N546" s="34"/>
      <c r="O546" s="34">
        <v>52124</v>
      </c>
      <c r="P546" s="34"/>
      <c r="Q546" s="34">
        <v>43100</v>
      </c>
      <c r="R546" s="34"/>
      <c r="S546" s="34">
        <v>0</v>
      </c>
      <c r="T546" s="34"/>
      <c r="U546" s="34">
        <v>1058</v>
      </c>
      <c r="V546" s="34"/>
      <c r="W546" s="34">
        <v>0</v>
      </c>
      <c r="X546" s="34"/>
      <c r="Y546" s="34">
        <v>0</v>
      </c>
      <c r="Z546" s="34"/>
      <c r="AA546" s="34">
        <v>0</v>
      </c>
      <c r="AB546" s="32"/>
      <c r="AC546" s="34">
        <v>0</v>
      </c>
      <c r="AD546" s="34"/>
      <c r="AE546" s="33">
        <f t="shared" si="8"/>
        <v>136376</v>
      </c>
    </row>
    <row r="547" spans="1:31" ht="12.75" customHeight="1">
      <c r="A547" s="1" t="s">
        <v>381</v>
      </c>
      <c r="C547" s="1" t="s">
        <v>84</v>
      </c>
      <c r="E547" s="34">
        <v>289155</v>
      </c>
      <c r="F547" s="34"/>
      <c r="G547" s="34">
        <v>4956</v>
      </c>
      <c r="H547" s="34"/>
      <c r="I547" s="34">
        <v>0</v>
      </c>
      <c r="J547" s="34"/>
      <c r="K547" s="34">
        <v>0</v>
      </c>
      <c r="L547" s="34"/>
      <c r="M547" s="34">
        <v>0</v>
      </c>
      <c r="N547" s="34"/>
      <c r="O547" s="34">
        <v>3848</v>
      </c>
      <c r="P547" s="34"/>
      <c r="Q547" s="34">
        <v>90165</v>
      </c>
      <c r="R547" s="34"/>
      <c r="S547" s="34">
        <v>540</v>
      </c>
      <c r="T547" s="34"/>
      <c r="U547" s="34">
        <v>0</v>
      </c>
      <c r="V547" s="34"/>
      <c r="W547" s="34">
        <v>0</v>
      </c>
      <c r="X547" s="34"/>
      <c r="Y547" s="34">
        <v>0</v>
      </c>
      <c r="Z547" s="34"/>
      <c r="AA547" s="34">
        <v>0</v>
      </c>
      <c r="AB547" s="32"/>
      <c r="AC547" s="34">
        <v>0</v>
      </c>
      <c r="AD547" s="34"/>
      <c r="AE547" s="33">
        <f t="shared" si="8"/>
        <v>388664</v>
      </c>
    </row>
    <row r="548" spans="1:31" ht="12.75" customHeight="1">
      <c r="A548" s="1" t="s">
        <v>382</v>
      </c>
      <c r="C548" s="1" t="s">
        <v>129</v>
      </c>
      <c r="E548" s="34">
        <v>977829</v>
      </c>
      <c r="F548" s="34"/>
      <c r="G548" s="34">
        <v>27167</v>
      </c>
      <c r="H548" s="34"/>
      <c r="I548" s="34">
        <v>60286</v>
      </c>
      <c r="J548" s="34"/>
      <c r="K548" s="34">
        <v>5954</v>
      </c>
      <c r="L548" s="34"/>
      <c r="M548" s="34">
        <v>0</v>
      </c>
      <c r="N548" s="34"/>
      <c r="O548" s="34">
        <v>369086</v>
      </c>
      <c r="P548" s="34"/>
      <c r="Q548" s="34">
        <v>446629</v>
      </c>
      <c r="R548" s="34"/>
      <c r="S548" s="34">
        <v>241</v>
      </c>
      <c r="T548" s="34"/>
      <c r="U548" s="34">
        <v>0</v>
      </c>
      <c r="V548" s="34"/>
      <c r="W548" s="34">
        <v>0</v>
      </c>
      <c r="X548" s="34"/>
      <c r="Y548" s="34">
        <v>47274</v>
      </c>
      <c r="Z548" s="34"/>
      <c r="AA548" s="34">
        <v>0</v>
      </c>
      <c r="AB548" s="32"/>
      <c r="AC548" s="34">
        <v>115</v>
      </c>
      <c r="AD548" s="34"/>
      <c r="AE548" s="33">
        <f t="shared" si="8"/>
        <v>1934581</v>
      </c>
    </row>
    <row r="549" spans="1:31" ht="12.75" customHeight="1">
      <c r="A549" s="1" t="s">
        <v>383</v>
      </c>
      <c r="C549" s="1" t="s">
        <v>247</v>
      </c>
      <c r="E549" s="34">
        <v>3509</v>
      </c>
      <c r="F549" s="34"/>
      <c r="G549" s="34">
        <v>1781</v>
      </c>
      <c r="H549" s="34"/>
      <c r="I549" s="34">
        <v>0</v>
      </c>
      <c r="J549" s="34"/>
      <c r="K549" s="34">
        <v>0</v>
      </c>
      <c r="L549" s="34"/>
      <c r="M549" s="34">
        <v>752</v>
      </c>
      <c r="N549" s="34"/>
      <c r="O549" s="34">
        <v>8000</v>
      </c>
      <c r="P549" s="34"/>
      <c r="Q549" s="34">
        <v>7380</v>
      </c>
      <c r="R549" s="34"/>
      <c r="S549" s="34">
        <v>0</v>
      </c>
      <c r="T549" s="34"/>
      <c r="U549" s="34">
        <v>0</v>
      </c>
      <c r="V549" s="34"/>
      <c r="W549" s="34">
        <v>0</v>
      </c>
      <c r="X549" s="34"/>
      <c r="Y549" s="34">
        <v>0</v>
      </c>
      <c r="Z549" s="34"/>
      <c r="AA549" s="34">
        <v>0</v>
      </c>
      <c r="AB549" s="32"/>
      <c r="AC549" s="34">
        <v>0</v>
      </c>
      <c r="AD549" s="34"/>
      <c r="AE549" s="33">
        <f t="shared" si="8"/>
        <v>21422</v>
      </c>
    </row>
    <row r="550" spans="1:31" ht="12.75" customHeight="1">
      <c r="A550" s="1" t="s">
        <v>384</v>
      </c>
      <c r="C550" s="1" t="s">
        <v>84</v>
      </c>
      <c r="E550" s="34">
        <v>265724</v>
      </c>
      <c r="F550" s="34"/>
      <c r="G550" s="34">
        <v>5243</v>
      </c>
      <c r="H550" s="34"/>
      <c r="I550" s="34">
        <v>34027</v>
      </c>
      <c r="J550" s="34"/>
      <c r="K550" s="34">
        <v>38807</v>
      </c>
      <c r="L550" s="34"/>
      <c r="M550" s="34">
        <v>0</v>
      </c>
      <c r="N550" s="34"/>
      <c r="O550" s="34">
        <v>0</v>
      </c>
      <c r="P550" s="34"/>
      <c r="Q550" s="34">
        <v>116721</v>
      </c>
      <c r="R550" s="34"/>
      <c r="S550" s="34">
        <v>0</v>
      </c>
      <c r="T550" s="34"/>
      <c r="U550" s="34">
        <v>0</v>
      </c>
      <c r="V550" s="34"/>
      <c r="W550" s="34">
        <v>0</v>
      </c>
      <c r="X550" s="34"/>
      <c r="Y550" s="34">
        <v>363950</v>
      </c>
      <c r="Z550" s="34"/>
      <c r="AA550" s="34">
        <v>0</v>
      </c>
      <c r="AB550" s="32"/>
      <c r="AC550" s="34">
        <v>0</v>
      </c>
      <c r="AD550" s="34"/>
      <c r="AE550" s="33">
        <f t="shared" si="8"/>
        <v>824472</v>
      </c>
    </row>
    <row r="551" spans="1:31" ht="12.75" customHeight="1">
      <c r="A551" s="1" t="s">
        <v>385</v>
      </c>
      <c r="C551" s="1" t="s">
        <v>179</v>
      </c>
      <c r="E551" s="34">
        <v>36476</v>
      </c>
      <c r="F551" s="34"/>
      <c r="G551" s="34">
        <v>0</v>
      </c>
      <c r="H551" s="34"/>
      <c r="I551" s="34">
        <v>2000</v>
      </c>
      <c r="J551" s="34"/>
      <c r="K551" s="34">
        <v>100</v>
      </c>
      <c r="L551" s="34"/>
      <c r="M551" s="34">
        <v>0</v>
      </c>
      <c r="N551" s="34"/>
      <c r="O551" s="34">
        <v>0</v>
      </c>
      <c r="P551" s="34"/>
      <c r="Q551" s="34">
        <v>73634</v>
      </c>
      <c r="R551" s="34"/>
      <c r="S551" s="34">
        <v>99139</v>
      </c>
      <c r="T551" s="34"/>
      <c r="U551" s="34">
        <v>0</v>
      </c>
      <c r="V551" s="34"/>
      <c r="W551" s="34">
        <v>0</v>
      </c>
      <c r="X551" s="34"/>
      <c r="Y551" s="34">
        <v>0</v>
      </c>
      <c r="Z551" s="34"/>
      <c r="AA551" s="34">
        <v>0</v>
      </c>
      <c r="AB551" s="32"/>
      <c r="AC551" s="34">
        <v>0</v>
      </c>
      <c r="AD551" s="34"/>
      <c r="AE551" s="33">
        <f t="shared" si="8"/>
        <v>211349</v>
      </c>
    </row>
    <row r="552" spans="1:31" ht="12.75" customHeight="1">
      <c r="A552" s="1" t="s">
        <v>480</v>
      </c>
      <c r="C552" s="1" t="s">
        <v>146</v>
      </c>
      <c r="E552" s="34">
        <v>15535</v>
      </c>
      <c r="F552" s="34"/>
      <c r="G552" s="34">
        <v>90</v>
      </c>
      <c r="H552" s="34"/>
      <c r="I552" s="34">
        <v>3190</v>
      </c>
      <c r="J552" s="34"/>
      <c r="K552" s="34">
        <v>0</v>
      </c>
      <c r="L552" s="34"/>
      <c r="M552" s="34">
        <v>0</v>
      </c>
      <c r="N552" s="34"/>
      <c r="O552" s="34">
        <v>0</v>
      </c>
      <c r="P552" s="34"/>
      <c r="Q552" s="34">
        <v>24624</v>
      </c>
      <c r="R552" s="34"/>
      <c r="S552" s="34">
        <v>172</v>
      </c>
      <c r="T552" s="34"/>
      <c r="U552" s="34">
        <v>0</v>
      </c>
      <c r="V552" s="34"/>
      <c r="W552" s="34">
        <v>0</v>
      </c>
      <c r="X552" s="34"/>
      <c r="Y552" s="34">
        <v>1883</v>
      </c>
      <c r="Z552" s="32"/>
      <c r="AA552" s="34">
        <v>0</v>
      </c>
      <c r="AB552" s="34"/>
      <c r="AC552" s="34">
        <v>0</v>
      </c>
      <c r="AD552" s="34"/>
      <c r="AE552" s="33">
        <f t="shared" si="8"/>
        <v>45494</v>
      </c>
    </row>
    <row r="553" spans="1:31" ht="12.75" customHeight="1">
      <c r="A553" s="1" t="s">
        <v>386</v>
      </c>
      <c r="C553" s="1" t="s">
        <v>228</v>
      </c>
      <c r="E553" s="34">
        <v>157033</v>
      </c>
      <c r="F553" s="34"/>
      <c r="G553" s="34">
        <v>12381</v>
      </c>
      <c r="H553" s="34"/>
      <c r="I553" s="34">
        <v>0</v>
      </c>
      <c r="J553" s="34"/>
      <c r="K553" s="34">
        <v>940</v>
      </c>
      <c r="L553" s="34"/>
      <c r="M553" s="34">
        <v>0</v>
      </c>
      <c r="N553" s="34"/>
      <c r="O553" s="34">
        <v>0</v>
      </c>
      <c r="P553" s="34"/>
      <c r="Q553" s="34">
        <v>103526</v>
      </c>
      <c r="R553" s="34"/>
      <c r="S553" s="34">
        <v>403564</v>
      </c>
      <c r="T553" s="34"/>
      <c r="U553" s="34">
        <v>0</v>
      </c>
      <c r="V553" s="34"/>
      <c r="W553" s="34">
        <v>0</v>
      </c>
      <c r="X553" s="34"/>
      <c r="Y553" s="34">
        <v>28500</v>
      </c>
      <c r="Z553" s="34"/>
      <c r="AA553" s="34">
        <v>0</v>
      </c>
      <c r="AB553" s="32"/>
      <c r="AC553" s="34">
        <v>0</v>
      </c>
      <c r="AD553" s="34"/>
      <c r="AE553" s="33">
        <f t="shared" si="8"/>
        <v>705944</v>
      </c>
    </row>
    <row r="554" spans="1:31" ht="12.75" customHeight="1">
      <c r="A554" s="1" t="s">
        <v>783</v>
      </c>
      <c r="C554" s="1" t="s">
        <v>184</v>
      </c>
      <c r="E554" s="34">
        <v>244812</v>
      </c>
      <c r="F554" s="34"/>
      <c r="G554" s="34">
        <v>2700</v>
      </c>
      <c r="H554" s="34"/>
      <c r="I554" s="34">
        <v>5321</v>
      </c>
      <c r="J554" s="34"/>
      <c r="K554" s="34">
        <v>10780</v>
      </c>
      <c r="L554" s="34"/>
      <c r="M554" s="34">
        <v>84034</v>
      </c>
      <c r="N554" s="34"/>
      <c r="O554" s="34">
        <v>42375</v>
      </c>
      <c r="P554" s="34"/>
      <c r="Q554" s="34">
        <v>129238</v>
      </c>
      <c r="R554" s="34"/>
      <c r="S554" s="34">
        <v>0</v>
      </c>
      <c r="T554" s="34"/>
      <c r="U554" s="34">
        <v>0</v>
      </c>
      <c r="V554" s="34"/>
      <c r="W554" s="34">
        <v>0</v>
      </c>
      <c r="X554" s="34"/>
      <c r="Y554" s="34">
        <v>0</v>
      </c>
      <c r="Z554" s="32"/>
      <c r="AA554" s="34">
        <v>0</v>
      </c>
      <c r="AB554" s="34"/>
      <c r="AC554" s="34">
        <v>0</v>
      </c>
      <c r="AD554" s="34"/>
      <c r="AE554" s="33">
        <f t="shared" si="8"/>
        <v>519260</v>
      </c>
    </row>
    <row r="555" spans="1:31" ht="12.75" customHeight="1">
      <c r="A555" s="1" t="s">
        <v>489</v>
      </c>
      <c r="C555" s="1" t="s">
        <v>194</v>
      </c>
      <c r="E555" s="34">
        <v>150390</v>
      </c>
      <c r="F555" s="34"/>
      <c r="G555" s="34">
        <v>0</v>
      </c>
      <c r="H555" s="34"/>
      <c r="I555" s="34">
        <v>0</v>
      </c>
      <c r="J555" s="34"/>
      <c r="K555" s="34">
        <v>0</v>
      </c>
      <c r="L555" s="34"/>
      <c r="M555" s="34">
        <v>0</v>
      </c>
      <c r="N555" s="34"/>
      <c r="O555" s="34">
        <v>0</v>
      </c>
      <c r="P555" s="34"/>
      <c r="Q555" s="34">
        <v>399240</v>
      </c>
      <c r="R555" s="34"/>
      <c r="S555" s="34">
        <v>46357</v>
      </c>
      <c r="T555" s="34"/>
      <c r="U555" s="34">
        <v>0</v>
      </c>
      <c r="V555" s="34"/>
      <c r="W555" s="34">
        <v>0</v>
      </c>
      <c r="X555" s="34"/>
      <c r="Y555" s="34">
        <v>0</v>
      </c>
      <c r="Z555" s="32"/>
      <c r="AA555" s="34">
        <v>0</v>
      </c>
      <c r="AB555" s="34"/>
      <c r="AC555" s="34">
        <v>7053</v>
      </c>
      <c r="AD555" s="34"/>
      <c r="AE555" s="33">
        <f t="shared" si="8"/>
        <v>603040</v>
      </c>
    </row>
    <row r="556" spans="1:31" ht="12.75" customHeight="1">
      <c r="A556" s="1" t="s">
        <v>756</v>
      </c>
      <c r="C556" s="1" t="s">
        <v>172</v>
      </c>
      <c r="E556" s="34">
        <v>321966</v>
      </c>
      <c r="F556" s="34"/>
      <c r="G556" s="34">
        <v>0</v>
      </c>
      <c r="H556" s="34"/>
      <c r="I556" s="34">
        <v>7686</v>
      </c>
      <c r="J556" s="34"/>
      <c r="K556" s="34">
        <v>1036</v>
      </c>
      <c r="L556" s="34"/>
      <c r="M556" s="34">
        <v>0</v>
      </c>
      <c r="N556" s="34"/>
      <c r="O556" s="34">
        <v>0</v>
      </c>
      <c r="P556" s="34"/>
      <c r="Q556" s="34">
        <v>361482</v>
      </c>
      <c r="R556" s="34"/>
      <c r="S556" s="34">
        <v>74698</v>
      </c>
      <c r="T556" s="34"/>
      <c r="U556" s="34">
        <v>0</v>
      </c>
      <c r="V556" s="34"/>
      <c r="W556" s="34">
        <v>0</v>
      </c>
      <c r="X556" s="34"/>
      <c r="Y556" s="34">
        <v>37774</v>
      </c>
      <c r="Z556" s="32"/>
      <c r="AA556" s="34">
        <v>0</v>
      </c>
      <c r="AB556" s="34"/>
      <c r="AC556" s="34">
        <v>0</v>
      </c>
      <c r="AD556" s="34"/>
      <c r="AE556" s="33">
        <f t="shared" si="8"/>
        <v>804642</v>
      </c>
    </row>
    <row r="557" spans="1:31" ht="12.75" customHeight="1">
      <c r="A557" s="1" t="s">
        <v>611</v>
      </c>
      <c r="C557" s="1" t="s">
        <v>164</v>
      </c>
      <c r="E557" s="34">
        <v>176082</v>
      </c>
      <c r="F557" s="34"/>
      <c r="G557" s="34">
        <v>0</v>
      </c>
      <c r="H557" s="34"/>
      <c r="I557" s="34">
        <v>500</v>
      </c>
      <c r="J557" s="34"/>
      <c r="K557" s="34">
        <v>0</v>
      </c>
      <c r="L557" s="34"/>
      <c r="M557" s="34">
        <v>0</v>
      </c>
      <c r="N557" s="34"/>
      <c r="O557" s="34">
        <v>0</v>
      </c>
      <c r="P557" s="34"/>
      <c r="Q557" s="34">
        <v>67256</v>
      </c>
      <c r="R557" s="34"/>
      <c r="S557" s="34">
        <v>4643</v>
      </c>
      <c r="T557" s="34"/>
      <c r="U557" s="34">
        <v>0</v>
      </c>
      <c r="V557" s="34"/>
      <c r="W557" s="34">
        <v>0</v>
      </c>
      <c r="X557" s="34"/>
      <c r="Y557" s="34">
        <v>0</v>
      </c>
      <c r="Z557" s="32"/>
      <c r="AA557" s="34">
        <v>0</v>
      </c>
      <c r="AB557" s="34"/>
      <c r="AC557" s="34">
        <v>0</v>
      </c>
      <c r="AD557" s="34"/>
      <c r="AE557" s="33">
        <f t="shared" si="8"/>
        <v>248481</v>
      </c>
    </row>
    <row r="558" spans="1:31" ht="12.75" customHeight="1">
      <c r="A558" s="1" t="s">
        <v>387</v>
      </c>
      <c r="C558" s="1" t="s">
        <v>291</v>
      </c>
      <c r="E558" s="34">
        <v>198263</v>
      </c>
      <c r="F558" s="34"/>
      <c r="G558" s="34">
        <v>0</v>
      </c>
      <c r="H558" s="34"/>
      <c r="I558" s="34">
        <v>0</v>
      </c>
      <c r="J558" s="34"/>
      <c r="K558" s="34">
        <v>278658</v>
      </c>
      <c r="L558" s="34"/>
      <c r="M558" s="34">
        <v>0</v>
      </c>
      <c r="N558" s="34"/>
      <c r="O558" s="34">
        <v>0</v>
      </c>
      <c r="P558" s="34"/>
      <c r="Q558" s="34">
        <v>346488</v>
      </c>
      <c r="R558" s="34"/>
      <c r="S558" s="34">
        <v>0</v>
      </c>
      <c r="T558" s="34"/>
      <c r="U558" s="34">
        <v>0</v>
      </c>
      <c r="V558" s="34"/>
      <c r="W558" s="34">
        <v>0</v>
      </c>
      <c r="X558" s="34"/>
      <c r="Y558" s="34">
        <v>33652</v>
      </c>
      <c r="Z558" s="34"/>
      <c r="AA558" s="34">
        <v>0</v>
      </c>
      <c r="AB558" s="32"/>
      <c r="AC558" s="34">
        <v>0</v>
      </c>
      <c r="AD558" s="34"/>
      <c r="AE558" s="33">
        <f t="shared" si="8"/>
        <v>857061</v>
      </c>
    </row>
    <row r="559" spans="1:31" ht="12.75" customHeight="1">
      <c r="A559" s="1" t="s">
        <v>629</v>
      </c>
      <c r="C559" s="1" t="s">
        <v>293</v>
      </c>
      <c r="E559" s="34">
        <v>31556</v>
      </c>
      <c r="F559" s="34"/>
      <c r="G559" s="34">
        <v>0</v>
      </c>
      <c r="H559" s="34"/>
      <c r="I559" s="34">
        <v>5958</v>
      </c>
      <c r="J559" s="34"/>
      <c r="K559" s="34">
        <v>0</v>
      </c>
      <c r="L559" s="34"/>
      <c r="M559" s="34">
        <v>0</v>
      </c>
      <c r="N559" s="34"/>
      <c r="O559" s="34">
        <v>1697</v>
      </c>
      <c r="P559" s="34"/>
      <c r="Q559" s="34">
        <v>38811</v>
      </c>
      <c r="R559" s="34"/>
      <c r="S559" s="34">
        <v>0</v>
      </c>
      <c r="T559" s="34"/>
      <c r="U559" s="34">
        <v>0</v>
      </c>
      <c r="V559" s="34"/>
      <c r="W559" s="34">
        <v>0</v>
      </c>
      <c r="X559" s="34"/>
      <c r="Y559" s="34">
        <v>0</v>
      </c>
      <c r="Z559" s="32"/>
      <c r="AA559" s="34">
        <v>0</v>
      </c>
      <c r="AB559" s="34"/>
      <c r="AC559" s="34">
        <v>0</v>
      </c>
      <c r="AD559" s="34"/>
      <c r="AE559" s="33">
        <f t="shared" si="8"/>
        <v>78022</v>
      </c>
    </row>
    <row r="560" spans="1:31" ht="12.75" customHeight="1">
      <c r="A560" s="1" t="s">
        <v>490</v>
      </c>
      <c r="C560" s="1" t="s">
        <v>194</v>
      </c>
      <c r="E560" s="34">
        <v>48042</v>
      </c>
      <c r="F560" s="34"/>
      <c r="G560" s="34">
        <v>0</v>
      </c>
      <c r="H560" s="34"/>
      <c r="I560" s="34">
        <v>0</v>
      </c>
      <c r="J560" s="34"/>
      <c r="K560" s="34">
        <v>0</v>
      </c>
      <c r="L560" s="34"/>
      <c r="M560" s="34">
        <v>1273</v>
      </c>
      <c r="N560" s="34"/>
      <c r="O560" s="34">
        <v>0</v>
      </c>
      <c r="P560" s="34"/>
      <c r="Q560" s="34">
        <v>52694</v>
      </c>
      <c r="R560" s="34"/>
      <c r="S560" s="34">
        <v>0</v>
      </c>
      <c r="T560" s="34"/>
      <c r="U560" s="34">
        <v>0</v>
      </c>
      <c r="V560" s="34"/>
      <c r="W560" s="34">
        <v>0</v>
      </c>
      <c r="X560" s="34"/>
      <c r="Y560" s="34">
        <v>0</v>
      </c>
      <c r="Z560" s="32"/>
      <c r="AA560" s="34">
        <v>0</v>
      </c>
      <c r="AB560" s="34"/>
      <c r="AC560" s="34">
        <v>0</v>
      </c>
      <c r="AD560" s="34"/>
      <c r="AE560" s="33">
        <f t="shared" si="8"/>
        <v>102009</v>
      </c>
    </row>
    <row r="561" spans="1:31" ht="12.75" customHeight="1">
      <c r="A561" s="1" t="s">
        <v>721</v>
      </c>
      <c r="C561" s="1" t="s">
        <v>318</v>
      </c>
      <c r="E561" s="34">
        <v>0</v>
      </c>
      <c r="F561" s="34"/>
      <c r="G561" s="34">
        <v>5163</v>
      </c>
      <c r="H561" s="34"/>
      <c r="I561" s="34">
        <v>0</v>
      </c>
      <c r="J561" s="34"/>
      <c r="K561" s="34">
        <v>0</v>
      </c>
      <c r="L561" s="34"/>
      <c r="M561" s="34">
        <v>1175</v>
      </c>
      <c r="N561" s="34"/>
      <c r="O561" s="34">
        <v>0</v>
      </c>
      <c r="P561" s="34"/>
      <c r="Q561" s="34">
        <v>16032</v>
      </c>
      <c r="R561" s="34"/>
      <c r="S561" s="34">
        <v>0</v>
      </c>
      <c r="T561" s="34"/>
      <c r="U561" s="34">
        <v>0</v>
      </c>
      <c r="V561" s="34"/>
      <c r="W561" s="34">
        <v>0</v>
      </c>
      <c r="X561" s="34"/>
      <c r="Y561" s="34">
        <v>37460</v>
      </c>
      <c r="Z561" s="32"/>
      <c r="AA561" s="34">
        <v>0</v>
      </c>
      <c r="AB561" s="34"/>
      <c r="AC561" s="34">
        <v>0</v>
      </c>
      <c r="AD561" s="34"/>
      <c r="AE561" s="33">
        <f t="shared" si="8"/>
        <v>59830</v>
      </c>
    </row>
    <row r="562" spans="1:31" ht="12.75" customHeight="1">
      <c r="A562" s="1" t="s">
        <v>671</v>
      </c>
      <c r="C562" s="1" t="s">
        <v>67</v>
      </c>
      <c r="E562" s="34">
        <v>182444</v>
      </c>
      <c r="F562" s="34"/>
      <c r="G562" s="34">
        <v>0</v>
      </c>
      <c r="H562" s="34"/>
      <c r="I562" s="34">
        <v>10056</v>
      </c>
      <c r="J562" s="34"/>
      <c r="K562" s="34">
        <v>0</v>
      </c>
      <c r="L562" s="34"/>
      <c r="M562" s="34">
        <v>0</v>
      </c>
      <c r="N562" s="34"/>
      <c r="O562" s="34">
        <v>13518</v>
      </c>
      <c r="P562" s="34"/>
      <c r="Q562" s="34">
        <v>146519</v>
      </c>
      <c r="R562" s="34"/>
      <c r="S562" s="34">
        <v>43722</v>
      </c>
      <c r="T562" s="34"/>
      <c r="U562" s="34">
        <v>0</v>
      </c>
      <c r="V562" s="34"/>
      <c r="W562" s="34">
        <v>0</v>
      </c>
      <c r="X562" s="34"/>
      <c r="Y562" s="34">
        <v>800</v>
      </c>
      <c r="Z562" s="32"/>
      <c r="AA562" s="34">
        <v>0</v>
      </c>
      <c r="AB562" s="34"/>
      <c r="AC562" s="34">
        <v>0</v>
      </c>
      <c r="AD562" s="34"/>
      <c r="AE562" s="33">
        <f t="shared" si="8"/>
        <v>397059</v>
      </c>
    </row>
    <row r="563" spans="1:31" ht="12.75" customHeight="1">
      <c r="A563" s="1" t="s">
        <v>644</v>
      </c>
      <c r="C563" s="1" t="s">
        <v>274</v>
      </c>
      <c r="E563" s="34">
        <v>23361</v>
      </c>
      <c r="F563" s="34"/>
      <c r="G563" s="34">
        <v>0</v>
      </c>
      <c r="H563" s="34"/>
      <c r="I563" s="34">
        <v>20967</v>
      </c>
      <c r="J563" s="34"/>
      <c r="K563" s="34">
        <v>170</v>
      </c>
      <c r="L563" s="34"/>
      <c r="M563" s="34">
        <v>835</v>
      </c>
      <c r="N563" s="34"/>
      <c r="O563" s="34">
        <v>1383</v>
      </c>
      <c r="P563" s="34"/>
      <c r="Q563" s="34">
        <v>40216</v>
      </c>
      <c r="R563" s="34"/>
      <c r="S563" s="34">
        <v>0</v>
      </c>
      <c r="T563" s="34"/>
      <c r="U563" s="34">
        <v>1652</v>
      </c>
      <c r="V563" s="34"/>
      <c r="W563" s="34">
        <v>0</v>
      </c>
      <c r="X563" s="34"/>
      <c r="Y563" s="34">
        <v>0</v>
      </c>
      <c r="Z563" s="32"/>
      <c r="AA563" s="34">
        <v>0</v>
      </c>
      <c r="AB563" s="34"/>
      <c r="AC563" s="34">
        <v>0</v>
      </c>
      <c r="AD563" s="34"/>
      <c r="AE563" s="33">
        <f t="shared" si="8"/>
        <v>88584</v>
      </c>
    </row>
    <row r="564" spans="1:31" ht="12.75" customHeight="1">
      <c r="A564" s="1" t="s">
        <v>451</v>
      </c>
      <c r="C564" s="1" t="s">
        <v>447</v>
      </c>
      <c r="E564" s="34">
        <v>348802</v>
      </c>
      <c r="F564" s="34"/>
      <c r="G564" s="34">
        <v>5429</v>
      </c>
      <c r="H564" s="34"/>
      <c r="I564" s="34">
        <v>10132</v>
      </c>
      <c r="J564" s="34"/>
      <c r="K564" s="34">
        <v>4000</v>
      </c>
      <c r="L564" s="34"/>
      <c r="M564" s="34">
        <v>0</v>
      </c>
      <c r="N564" s="34"/>
      <c r="O564" s="34">
        <v>0</v>
      </c>
      <c r="P564" s="34"/>
      <c r="Q564" s="34">
        <v>91900</v>
      </c>
      <c r="R564" s="34"/>
      <c r="S564" s="34">
        <v>0</v>
      </c>
      <c r="T564" s="34"/>
      <c r="U564" s="34">
        <v>0</v>
      </c>
      <c r="V564" s="34"/>
      <c r="W564" s="34">
        <v>0</v>
      </c>
      <c r="X564" s="34"/>
      <c r="Y564" s="34">
        <v>12000</v>
      </c>
      <c r="Z564" s="32"/>
      <c r="AA564" s="34">
        <v>0</v>
      </c>
      <c r="AB564" s="34"/>
      <c r="AC564" s="34">
        <v>0</v>
      </c>
      <c r="AD564" s="34"/>
      <c r="AE564" s="33">
        <f t="shared" si="8"/>
        <v>472263</v>
      </c>
    </row>
    <row r="565" spans="1:31" ht="12.75" customHeight="1">
      <c r="A565" s="1" t="s">
        <v>556</v>
      </c>
      <c r="C565" s="1" t="s">
        <v>157</v>
      </c>
      <c r="E565" s="34">
        <v>14102</v>
      </c>
      <c r="F565" s="34"/>
      <c r="G565" s="34">
        <v>3023</v>
      </c>
      <c r="H565" s="34"/>
      <c r="I565" s="34">
        <v>0</v>
      </c>
      <c r="J565" s="34"/>
      <c r="K565" s="34">
        <v>1129</v>
      </c>
      <c r="L565" s="34"/>
      <c r="M565" s="34">
        <v>3482</v>
      </c>
      <c r="N565" s="34"/>
      <c r="O565" s="34">
        <v>14841</v>
      </c>
      <c r="P565" s="34"/>
      <c r="Q565" s="34">
        <v>33066</v>
      </c>
      <c r="R565" s="34"/>
      <c r="S565" s="34">
        <v>0</v>
      </c>
      <c r="T565" s="34"/>
      <c r="U565" s="34">
        <v>0</v>
      </c>
      <c r="V565" s="34"/>
      <c r="W565" s="34">
        <v>0</v>
      </c>
      <c r="X565" s="34"/>
      <c r="Y565" s="34">
        <v>0</v>
      </c>
      <c r="Z565" s="32"/>
      <c r="AA565" s="34">
        <v>0</v>
      </c>
      <c r="AB565" s="34"/>
      <c r="AC565" s="34">
        <v>0</v>
      </c>
      <c r="AD565" s="34"/>
      <c r="AE565" s="33">
        <f t="shared" si="8"/>
        <v>69643</v>
      </c>
    </row>
    <row r="566" spans="1:31" ht="12.75" customHeight="1">
      <c r="A566" s="1" t="s">
        <v>388</v>
      </c>
      <c r="C566" s="1" t="s">
        <v>231</v>
      </c>
      <c r="E566" s="34">
        <v>36769</v>
      </c>
      <c r="F566" s="34"/>
      <c r="G566" s="34">
        <v>683</v>
      </c>
      <c r="H566" s="34"/>
      <c r="I566" s="34">
        <v>11968</v>
      </c>
      <c r="J566" s="34"/>
      <c r="K566" s="34">
        <v>1385</v>
      </c>
      <c r="L566" s="34"/>
      <c r="M566" s="34">
        <v>0</v>
      </c>
      <c r="N566" s="34"/>
      <c r="O566" s="34">
        <v>0</v>
      </c>
      <c r="P566" s="34"/>
      <c r="Q566" s="34">
        <v>42642</v>
      </c>
      <c r="R566" s="34"/>
      <c r="S566" s="34">
        <v>0</v>
      </c>
      <c r="T566" s="34"/>
      <c r="U566" s="34">
        <v>0</v>
      </c>
      <c r="V566" s="34"/>
      <c r="W566" s="34">
        <v>0</v>
      </c>
      <c r="X566" s="34"/>
      <c r="Y566" s="34">
        <v>0</v>
      </c>
      <c r="Z566" s="34"/>
      <c r="AA566" s="34">
        <v>0</v>
      </c>
      <c r="AB566" s="32"/>
      <c r="AC566" s="34">
        <v>0</v>
      </c>
      <c r="AD566" s="34"/>
      <c r="AE566" s="33">
        <f t="shared" si="8"/>
        <v>93447</v>
      </c>
    </row>
    <row r="567" spans="1:31" ht="12.75" customHeight="1">
      <c r="A567" s="1" t="s">
        <v>389</v>
      </c>
      <c r="C567" s="1" t="s">
        <v>246</v>
      </c>
      <c r="E567" s="34">
        <v>1653</v>
      </c>
      <c r="F567" s="34"/>
      <c r="G567" s="34">
        <v>0</v>
      </c>
      <c r="H567" s="34"/>
      <c r="I567" s="34">
        <v>0</v>
      </c>
      <c r="J567" s="34"/>
      <c r="K567" s="34">
        <v>0</v>
      </c>
      <c r="L567" s="34"/>
      <c r="M567" s="34">
        <v>0</v>
      </c>
      <c r="N567" s="34"/>
      <c r="O567" s="34">
        <v>0</v>
      </c>
      <c r="P567" s="34"/>
      <c r="Q567" s="34">
        <v>0</v>
      </c>
      <c r="R567" s="34"/>
      <c r="S567" s="34">
        <v>3477</v>
      </c>
      <c r="T567" s="34"/>
      <c r="U567" s="34">
        <v>0</v>
      </c>
      <c r="V567" s="34"/>
      <c r="W567" s="34">
        <v>0</v>
      </c>
      <c r="X567" s="34"/>
      <c r="Y567" s="34">
        <v>0</v>
      </c>
      <c r="Z567" s="34"/>
      <c r="AA567" s="34">
        <v>0</v>
      </c>
      <c r="AB567" s="32"/>
      <c r="AC567" s="34">
        <v>0</v>
      </c>
      <c r="AD567" s="34"/>
      <c r="AE567" s="33">
        <f t="shared" si="8"/>
        <v>5130</v>
      </c>
    </row>
    <row r="568" spans="1:31" ht="12.75" customHeight="1">
      <c r="A568" s="1" t="s">
        <v>486</v>
      </c>
      <c r="C568" s="1" t="s">
        <v>312</v>
      </c>
      <c r="E568" s="34">
        <v>279886</v>
      </c>
      <c r="F568" s="34"/>
      <c r="G568" s="34">
        <v>0</v>
      </c>
      <c r="H568" s="34"/>
      <c r="I568" s="34">
        <v>0</v>
      </c>
      <c r="J568" s="34"/>
      <c r="K568" s="34">
        <v>11966</v>
      </c>
      <c r="L568" s="34"/>
      <c r="M568" s="34">
        <v>0</v>
      </c>
      <c r="N568" s="34"/>
      <c r="O568" s="34">
        <v>38966</v>
      </c>
      <c r="P568" s="34"/>
      <c r="Q568" s="34">
        <v>93315</v>
      </c>
      <c r="R568" s="34"/>
      <c r="S568" s="34">
        <v>0</v>
      </c>
      <c r="T568" s="34"/>
      <c r="U568" s="34">
        <v>7630</v>
      </c>
      <c r="V568" s="34"/>
      <c r="W568" s="34">
        <v>0</v>
      </c>
      <c r="X568" s="34"/>
      <c r="Y568" s="34">
        <v>5000</v>
      </c>
      <c r="Z568" s="32"/>
      <c r="AA568" s="34">
        <v>0</v>
      </c>
      <c r="AB568" s="34"/>
      <c r="AC568" s="34">
        <v>0</v>
      </c>
      <c r="AD568" s="34"/>
      <c r="AE568" s="33">
        <f t="shared" si="8"/>
        <v>436763</v>
      </c>
    </row>
    <row r="569" spans="1:31" ht="12.75" customHeight="1">
      <c r="A569" s="1" t="s">
        <v>390</v>
      </c>
      <c r="C569" s="1" t="s">
        <v>80</v>
      </c>
      <c r="E569" s="34">
        <v>3749</v>
      </c>
      <c r="F569" s="34"/>
      <c r="G569" s="34">
        <v>261</v>
      </c>
      <c r="H569" s="34"/>
      <c r="I569" s="34">
        <v>0</v>
      </c>
      <c r="J569" s="34"/>
      <c r="K569" s="34">
        <v>0</v>
      </c>
      <c r="L569" s="34"/>
      <c r="M569" s="34">
        <v>0</v>
      </c>
      <c r="N569" s="34"/>
      <c r="O569" s="34">
        <v>0</v>
      </c>
      <c r="P569" s="34"/>
      <c r="Q569" s="34">
        <v>1612</v>
      </c>
      <c r="R569" s="34"/>
      <c r="S569" s="34">
        <v>0</v>
      </c>
      <c r="T569" s="34"/>
      <c r="U569" s="34">
        <v>0</v>
      </c>
      <c r="V569" s="34"/>
      <c r="W569" s="34">
        <v>0</v>
      </c>
      <c r="X569" s="34"/>
      <c r="Y569" s="34">
        <v>0</v>
      </c>
      <c r="Z569" s="34"/>
      <c r="AA569" s="34">
        <v>0</v>
      </c>
      <c r="AB569" s="32"/>
      <c r="AC569" s="34">
        <v>0</v>
      </c>
      <c r="AD569" s="34"/>
      <c r="AE569" s="33">
        <f t="shared" si="8"/>
        <v>5622</v>
      </c>
    </row>
    <row r="570" spans="1:31" ht="12.75" customHeight="1">
      <c r="A570" s="1" t="s">
        <v>663</v>
      </c>
      <c r="C570" s="1" t="s">
        <v>280</v>
      </c>
      <c r="E570" s="34">
        <v>4906</v>
      </c>
      <c r="F570" s="34"/>
      <c r="G570" s="34">
        <v>3225</v>
      </c>
      <c r="H570" s="34"/>
      <c r="I570" s="34">
        <v>0</v>
      </c>
      <c r="J570" s="34"/>
      <c r="K570" s="34">
        <v>0</v>
      </c>
      <c r="L570" s="34"/>
      <c r="M570" s="34">
        <v>360</v>
      </c>
      <c r="N570" s="34"/>
      <c r="O570" s="34">
        <v>540</v>
      </c>
      <c r="P570" s="34"/>
      <c r="Q570" s="34">
        <v>27385</v>
      </c>
      <c r="R570" s="34"/>
      <c r="S570" s="34">
        <v>0</v>
      </c>
      <c r="T570" s="34"/>
      <c r="U570" s="34">
        <v>0</v>
      </c>
      <c r="V570" s="34"/>
      <c r="W570" s="34">
        <v>0</v>
      </c>
      <c r="X570" s="34"/>
      <c r="Y570" s="34">
        <v>0</v>
      </c>
      <c r="Z570" s="32"/>
      <c r="AA570" s="34">
        <v>0</v>
      </c>
      <c r="AB570" s="34"/>
      <c r="AC570" s="34">
        <v>0</v>
      </c>
      <c r="AD570" s="34"/>
      <c r="AE570" s="33">
        <f t="shared" si="8"/>
        <v>36416</v>
      </c>
    </row>
    <row r="571" spans="1:31" ht="12.75" customHeight="1">
      <c r="A571" s="1" t="s">
        <v>741</v>
      </c>
      <c r="C571" s="1" t="s">
        <v>96</v>
      </c>
      <c r="E571" s="34">
        <v>5860</v>
      </c>
      <c r="F571" s="34"/>
      <c r="G571" s="34">
        <v>265</v>
      </c>
      <c r="H571" s="34"/>
      <c r="I571" s="34">
        <v>356</v>
      </c>
      <c r="J571" s="34"/>
      <c r="K571" s="34">
        <v>25</v>
      </c>
      <c r="L571" s="34"/>
      <c r="M571" s="34">
        <v>6430</v>
      </c>
      <c r="N571" s="34"/>
      <c r="O571" s="34">
        <v>0</v>
      </c>
      <c r="P571" s="34"/>
      <c r="Q571" s="34">
        <v>28794</v>
      </c>
      <c r="R571" s="34"/>
      <c r="S571" s="34">
        <v>0</v>
      </c>
      <c r="T571" s="34"/>
      <c r="U571" s="34">
        <v>0</v>
      </c>
      <c r="V571" s="34"/>
      <c r="W571" s="34">
        <v>0</v>
      </c>
      <c r="X571" s="34"/>
      <c r="Y571" s="34">
        <v>1000</v>
      </c>
      <c r="Z571" s="32"/>
      <c r="AA571" s="34">
        <v>0</v>
      </c>
      <c r="AB571" s="34"/>
      <c r="AC571" s="34">
        <v>0</v>
      </c>
      <c r="AD571" s="34"/>
      <c r="AE571" s="33">
        <f t="shared" si="8"/>
        <v>42730</v>
      </c>
    </row>
    <row r="572" spans="1:31" ht="12.75" customHeight="1">
      <c r="A572" s="1" t="s">
        <v>391</v>
      </c>
      <c r="C572" s="1" t="s">
        <v>96</v>
      </c>
      <c r="E572" s="34">
        <v>236381</v>
      </c>
      <c r="F572" s="34"/>
      <c r="G572" s="34">
        <v>1396</v>
      </c>
      <c r="H572" s="34"/>
      <c r="I572" s="34">
        <v>0</v>
      </c>
      <c r="J572" s="34"/>
      <c r="K572" s="34">
        <v>2926</v>
      </c>
      <c r="L572" s="34"/>
      <c r="M572" s="34">
        <v>56214</v>
      </c>
      <c r="N572" s="34"/>
      <c r="O572" s="34">
        <v>0</v>
      </c>
      <c r="P572" s="34"/>
      <c r="Q572" s="34">
        <v>270675</v>
      </c>
      <c r="R572" s="34"/>
      <c r="S572" s="34">
        <v>62866</v>
      </c>
      <c r="T572" s="34"/>
      <c r="U572" s="34">
        <v>0</v>
      </c>
      <c r="V572" s="34"/>
      <c r="W572" s="34">
        <v>0</v>
      </c>
      <c r="X572" s="34"/>
      <c r="Y572" s="34">
        <v>0</v>
      </c>
      <c r="Z572" s="34"/>
      <c r="AA572" s="34">
        <v>0</v>
      </c>
      <c r="AB572" s="32"/>
      <c r="AC572" s="34">
        <v>0</v>
      </c>
      <c r="AD572" s="34"/>
      <c r="AE572" s="33">
        <f t="shared" si="8"/>
        <v>630458</v>
      </c>
    </row>
    <row r="573" spans="1:31" ht="12.75" customHeight="1">
      <c r="A573" s="1" t="s">
        <v>392</v>
      </c>
      <c r="C573" s="1" t="s">
        <v>69</v>
      </c>
      <c r="E573" s="34">
        <v>60288</v>
      </c>
      <c r="F573" s="34"/>
      <c r="G573" s="34">
        <v>40000</v>
      </c>
      <c r="H573" s="34"/>
      <c r="I573" s="34">
        <v>96040</v>
      </c>
      <c r="J573" s="34"/>
      <c r="K573" s="34">
        <v>0</v>
      </c>
      <c r="L573" s="34"/>
      <c r="M573" s="34">
        <v>74056</v>
      </c>
      <c r="N573" s="34"/>
      <c r="O573" s="34">
        <v>86058</v>
      </c>
      <c r="P573" s="34"/>
      <c r="Q573" s="34">
        <v>609865</v>
      </c>
      <c r="R573" s="34"/>
      <c r="S573" s="34">
        <v>470890</v>
      </c>
      <c r="T573" s="34"/>
      <c r="U573" s="34">
        <v>65786</v>
      </c>
      <c r="V573" s="34"/>
      <c r="W573" s="34">
        <v>0</v>
      </c>
      <c r="X573" s="34"/>
      <c r="Y573" s="34">
        <v>33000</v>
      </c>
      <c r="Z573" s="34"/>
      <c r="AA573" s="34">
        <v>0</v>
      </c>
      <c r="AB573" s="32"/>
      <c r="AC573" s="34">
        <v>0</v>
      </c>
      <c r="AD573" s="34"/>
      <c r="AE573" s="33">
        <f t="shared" si="8"/>
        <v>1535983</v>
      </c>
    </row>
    <row r="574" spans="5:31" ht="12.75" customHeight="1"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2"/>
      <c r="AA574" s="34"/>
      <c r="AB574" s="34"/>
      <c r="AD574" s="34"/>
      <c r="AE574" s="34" t="s">
        <v>785</v>
      </c>
    </row>
    <row r="575" spans="1:31" s="36" customFormat="1" ht="12.75" customHeight="1">
      <c r="A575" s="36" t="s">
        <v>393</v>
      </c>
      <c r="C575" s="36" t="s">
        <v>190</v>
      </c>
      <c r="E575" s="39">
        <v>210250</v>
      </c>
      <c r="F575" s="39"/>
      <c r="G575" s="39">
        <v>16415</v>
      </c>
      <c r="H575" s="39"/>
      <c r="I575" s="39">
        <v>2000</v>
      </c>
      <c r="J575" s="39"/>
      <c r="K575" s="39">
        <v>2975</v>
      </c>
      <c r="L575" s="39"/>
      <c r="M575" s="39">
        <v>8502</v>
      </c>
      <c r="N575" s="39"/>
      <c r="O575" s="39">
        <v>0</v>
      </c>
      <c r="P575" s="39"/>
      <c r="Q575" s="39">
        <v>217559</v>
      </c>
      <c r="R575" s="39"/>
      <c r="S575" s="39">
        <v>0</v>
      </c>
      <c r="T575" s="39"/>
      <c r="U575" s="39">
        <v>0</v>
      </c>
      <c r="V575" s="39"/>
      <c r="W575" s="39">
        <v>0</v>
      </c>
      <c r="X575" s="39"/>
      <c r="Y575" s="39">
        <v>23000</v>
      </c>
      <c r="Z575" s="39"/>
      <c r="AA575" s="39">
        <v>0</v>
      </c>
      <c r="AB575" s="38"/>
      <c r="AC575" s="39">
        <v>0</v>
      </c>
      <c r="AD575" s="39"/>
      <c r="AE575" s="40">
        <f t="shared" si="8"/>
        <v>480701</v>
      </c>
    </row>
    <row r="576" spans="1:31" s="16" customFormat="1" ht="12.75" customHeight="1">
      <c r="A576" s="16" t="s">
        <v>693</v>
      </c>
      <c r="C576" s="16" t="s">
        <v>137</v>
      </c>
      <c r="E576" s="34">
        <v>12177</v>
      </c>
      <c r="F576" s="34"/>
      <c r="G576" s="34">
        <v>4200</v>
      </c>
      <c r="H576" s="34"/>
      <c r="I576" s="34">
        <v>0</v>
      </c>
      <c r="J576" s="34"/>
      <c r="K576" s="34">
        <v>69812</v>
      </c>
      <c r="L576" s="34"/>
      <c r="M576" s="34">
        <v>21797</v>
      </c>
      <c r="N576" s="34"/>
      <c r="O576" s="34">
        <v>17357</v>
      </c>
      <c r="P576" s="34"/>
      <c r="Q576" s="34">
        <v>56324</v>
      </c>
      <c r="R576" s="34"/>
      <c r="S576" s="34">
        <v>0</v>
      </c>
      <c r="T576" s="34"/>
      <c r="U576" s="34">
        <v>0</v>
      </c>
      <c r="V576" s="34"/>
      <c r="W576" s="34">
        <v>0</v>
      </c>
      <c r="X576" s="34"/>
      <c r="Y576" s="34">
        <v>0</v>
      </c>
      <c r="Z576" s="32"/>
      <c r="AA576" s="34">
        <v>0</v>
      </c>
      <c r="AB576" s="34"/>
      <c r="AC576" s="34">
        <v>0</v>
      </c>
      <c r="AD576" s="34"/>
      <c r="AE576" s="33">
        <f t="shared" si="8"/>
        <v>181667</v>
      </c>
    </row>
    <row r="577" spans="1:31" ht="12.75" customHeight="1">
      <c r="A577" s="1" t="s">
        <v>535</v>
      </c>
      <c r="C577" s="1" t="s">
        <v>98</v>
      </c>
      <c r="E577" s="34">
        <v>31633</v>
      </c>
      <c r="F577" s="34"/>
      <c r="G577" s="34">
        <v>1238</v>
      </c>
      <c r="H577" s="34"/>
      <c r="I577" s="34">
        <v>0</v>
      </c>
      <c r="J577" s="34"/>
      <c r="K577" s="34">
        <v>2616</v>
      </c>
      <c r="L577" s="34"/>
      <c r="M577" s="34">
        <v>0</v>
      </c>
      <c r="N577" s="34"/>
      <c r="O577" s="34">
        <v>0</v>
      </c>
      <c r="P577" s="34"/>
      <c r="Q577" s="34">
        <v>84620</v>
      </c>
      <c r="R577" s="34"/>
      <c r="S577" s="34">
        <v>0</v>
      </c>
      <c r="T577" s="34"/>
      <c r="U577" s="34">
        <v>0</v>
      </c>
      <c r="V577" s="34"/>
      <c r="W577" s="34">
        <v>0</v>
      </c>
      <c r="X577" s="34"/>
      <c r="Y577" s="34">
        <v>0</v>
      </c>
      <c r="Z577" s="32"/>
      <c r="AA577" s="34">
        <v>0</v>
      </c>
      <c r="AB577" s="34"/>
      <c r="AC577" s="34">
        <v>0</v>
      </c>
      <c r="AD577" s="34"/>
      <c r="AE577" s="33">
        <f t="shared" si="8"/>
        <v>120107</v>
      </c>
    </row>
    <row r="578" spans="1:31" ht="12.75" customHeight="1">
      <c r="A578" s="1" t="s">
        <v>394</v>
      </c>
      <c r="C578" s="1" t="s">
        <v>96</v>
      </c>
      <c r="E578" s="34">
        <v>365794</v>
      </c>
      <c r="F578" s="34"/>
      <c r="G578" s="34">
        <v>2797</v>
      </c>
      <c r="H578" s="34"/>
      <c r="I578" s="34">
        <v>15147</v>
      </c>
      <c r="J578" s="34"/>
      <c r="K578" s="34">
        <v>7512</v>
      </c>
      <c r="L578" s="34"/>
      <c r="M578" s="34">
        <v>93264</v>
      </c>
      <c r="N578" s="34"/>
      <c r="O578" s="34">
        <v>2691</v>
      </c>
      <c r="P578" s="34"/>
      <c r="Q578" s="34">
        <v>318926</v>
      </c>
      <c r="R578" s="34"/>
      <c r="S578" s="34">
        <v>15295</v>
      </c>
      <c r="T578" s="34"/>
      <c r="U578" s="34">
        <v>0</v>
      </c>
      <c r="V578" s="34"/>
      <c r="W578" s="34">
        <v>0</v>
      </c>
      <c r="X578" s="34"/>
      <c r="Y578" s="34">
        <v>85000</v>
      </c>
      <c r="Z578" s="34"/>
      <c r="AA578" s="34">
        <v>0</v>
      </c>
      <c r="AB578" s="32"/>
      <c r="AC578" s="34">
        <v>0</v>
      </c>
      <c r="AD578" s="34"/>
      <c r="AE578" s="33">
        <f t="shared" si="8"/>
        <v>906426</v>
      </c>
    </row>
    <row r="579" spans="1:31" ht="12.75" customHeight="1">
      <c r="A579" s="1" t="s">
        <v>672</v>
      </c>
      <c r="C579" s="1" t="s">
        <v>104</v>
      </c>
      <c r="E579" s="34">
        <v>4142</v>
      </c>
      <c r="F579" s="34"/>
      <c r="G579" s="34">
        <v>0</v>
      </c>
      <c r="H579" s="34"/>
      <c r="I579" s="34">
        <v>242</v>
      </c>
      <c r="J579" s="34"/>
      <c r="K579" s="34">
        <v>0</v>
      </c>
      <c r="L579" s="34"/>
      <c r="M579" s="34">
        <v>2024</v>
      </c>
      <c r="N579" s="34"/>
      <c r="O579" s="34">
        <v>0</v>
      </c>
      <c r="P579" s="34"/>
      <c r="Q579" s="34">
        <v>14110</v>
      </c>
      <c r="R579" s="34"/>
      <c r="S579" s="34">
        <v>0</v>
      </c>
      <c r="T579" s="34"/>
      <c r="U579" s="34">
        <v>0</v>
      </c>
      <c r="V579" s="34"/>
      <c r="W579" s="34">
        <v>0</v>
      </c>
      <c r="X579" s="34"/>
      <c r="Y579" s="34">
        <v>800</v>
      </c>
      <c r="Z579" s="32"/>
      <c r="AA579" s="34">
        <v>0</v>
      </c>
      <c r="AB579" s="34"/>
      <c r="AC579" s="34">
        <v>95</v>
      </c>
      <c r="AD579" s="34"/>
      <c r="AE579" s="33">
        <f t="shared" si="8"/>
        <v>21413</v>
      </c>
    </row>
    <row r="580" spans="1:31" ht="12.75" customHeight="1">
      <c r="A580" s="1" t="s">
        <v>510</v>
      </c>
      <c r="C580" s="1" t="s">
        <v>414</v>
      </c>
      <c r="E580" s="34">
        <v>3195</v>
      </c>
      <c r="F580" s="34"/>
      <c r="G580" s="34">
        <v>0</v>
      </c>
      <c r="H580" s="34"/>
      <c r="I580" s="34">
        <v>0</v>
      </c>
      <c r="J580" s="34"/>
      <c r="K580" s="34">
        <v>0</v>
      </c>
      <c r="L580" s="34"/>
      <c r="M580" s="34">
        <v>4291</v>
      </c>
      <c r="N580" s="34"/>
      <c r="O580" s="34">
        <v>0</v>
      </c>
      <c r="P580" s="34"/>
      <c r="Q580" s="34">
        <v>15473</v>
      </c>
      <c r="R580" s="34"/>
      <c r="S580" s="34">
        <v>0</v>
      </c>
      <c r="T580" s="34"/>
      <c r="U580" s="34">
        <v>0</v>
      </c>
      <c r="V580" s="34"/>
      <c r="W580" s="34">
        <v>0</v>
      </c>
      <c r="X580" s="34"/>
      <c r="Y580" s="34">
        <v>0</v>
      </c>
      <c r="Z580" s="32"/>
      <c r="AA580" s="34">
        <v>0</v>
      </c>
      <c r="AB580" s="34"/>
      <c r="AC580" s="34">
        <v>0</v>
      </c>
      <c r="AD580" s="34"/>
      <c r="AE580" s="33">
        <f t="shared" si="8"/>
        <v>22959</v>
      </c>
    </row>
    <row r="581" spans="1:31" ht="12.75" customHeight="1">
      <c r="A581" s="1" t="s">
        <v>395</v>
      </c>
      <c r="C581" s="1" t="s">
        <v>90</v>
      </c>
      <c r="E581" s="34">
        <v>989428</v>
      </c>
      <c r="F581" s="34"/>
      <c r="G581" s="34">
        <v>148825</v>
      </c>
      <c r="H581" s="34"/>
      <c r="I581" s="34">
        <v>0</v>
      </c>
      <c r="J581" s="34"/>
      <c r="K581" s="34">
        <v>0</v>
      </c>
      <c r="L581" s="34"/>
      <c r="M581" s="34">
        <v>0</v>
      </c>
      <c r="N581" s="34"/>
      <c r="O581" s="34">
        <v>535382</v>
      </c>
      <c r="P581" s="34"/>
      <c r="Q581" s="34">
        <v>585200</v>
      </c>
      <c r="R581" s="34"/>
      <c r="S581" s="34">
        <v>967331</v>
      </c>
      <c r="T581" s="34"/>
      <c r="U581" s="34">
        <v>1072800</v>
      </c>
      <c r="V581" s="34"/>
      <c r="W581" s="34">
        <v>25424</v>
      </c>
      <c r="X581" s="34"/>
      <c r="Y581" s="34">
        <v>0</v>
      </c>
      <c r="Z581" s="34"/>
      <c r="AA581" s="34">
        <v>0</v>
      </c>
      <c r="AB581" s="32"/>
      <c r="AC581" s="34">
        <v>0</v>
      </c>
      <c r="AD581" s="34"/>
      <c r="AE581" s="33">
        <f t="shared" si="8"/>
        <v>4324390</v>
      </c>
    </row>
    <row r="582" spans="1:31" ht="12.75" customHeight="1">
      <c r="A582" s="1" t="s">
        <v>396</v>
      </c>
      <c r="C582" s="1" t="s">
        <v>87</v>
      </c>
      <c r="E582" s="34">
        <v>580284</v>
      </c>
      <c r="F582" s="34"/>
      <c r="G582" s="34">
        <v>745</v>
      </c>
      <c r="H582" s="34"/>
      <c r="I582" s="34">
        <v>0</v>
      </c>
      <c r="J582" s="34"/>
      <c r="K582" s="34">
        <v>3922</v>
      </c>
      <c r="L582" s="34"/>
      <c r="M582" s="34">
        <v>80987</v>
      </c>
      <c r="N582" s="34"/>
      <c r="O582" s="34">
        <v>34324</v>
      </c>
      <c r="P582" s="34"/>
      <c r="Q582" s="34">
        <v>365699</v>
      </c>
      <c r="R582" s="34"/>
      <c r="S582" s="34">
        <v>0</v>
      </c>
      <c r="T582" s="34"/>
      <c r="U582" s="34">
        <v>0</v>
      </c>
      <c r="V582" s="34"/>
      <c r="W582" s="34">
        <v>0</v>
      </c>
      <c r="X582" s="34"/>
      <c r="Y582" s="34">
        <v>0</v>
      </c>
      <c r="Z582" s="34"/>
      <c r="AA582" s="34">
        <v>0</v>
      </c>
      <c r="AB582" s="32"/>
      <c r="AC582" s="34">
        <v>0</v>
      </c>
      <c r="AD582" s="34"/>
      <c r="AE582" s="33">
        <f t="shared" si="8"/>
        <v>1065961</v>
      </c>
    </row>
    <row r="583" spans="1:31" ht="12.75" customHeight="1">
      <c r="A583" s="1" t="s">
        <v>781</v>
      </c>
      <c r="C583" s="1" t="s">
        <v>151</v>
      </c>
      <c r="E583" s="34">
        <v>101877</v>
      </c>
      <c r="F583" s="34"/>
      <c r="G583" s="34">
        <v>2025</v>
      </c>
      <c r="H583" s="34"/>
      <c r="I583" s="34">
        <v>3360</v>
      </c>
      <c r="J583" s="34"/>
      <c r="K583" s="34">
        <v>0</v>
      </c>
      <c r="L583" s="34"/>
      <c r="M583" s="34">
        <v>0</v>
      </c>
      <c r="N583" s="34"/>
      <c r="O583" s="34">
        <v>0</v>
      </c>
      <c r="P583" s="34"/>
      <c r="Q583" s="34">
        <v>64259</v>
      </c>
      <c r="R583" s="34"/>
      <c r="S583" s="34">
        <v>0</v>
      </c>
      <c r="T583" s="34"/>
      <c r="U583" s="34">
        <v>0</v>
      </c>
      <c r="V583" s="34"/>
      <c r="W583" s="34">
        <v>0</v>
      </c>
      <c r="X583" s="34"/>
      <c r="Y583" s="34">
        <v>0</v>
      </c>
      <c r="Z583" s="32"/>
      <c r="AA583" s="34">
        <v>25000</v>
      </c>
      <c r="AB583" s="34"/>
      <c r="AC583" s="34">
        <v>60085</v>
      </c>
      <c r="AD583" s="34"/>
      <c r="AE583" s="33">
        <f t="shared" si="8"/>
        <v>256606</v>
      </c>
    </row>
    <row r="584" spans="1:31" ht="12.75" customHeight="1">
      <c r="A584" s="1" t="s">
        <v>649</v>
      </c>
      <c r="C584" s="1" t="s">
        <v>372</v>
      </c>
      <c r="E584" s="34">
        <v>73924</v>
      </c>
      <c r="F584" s="34"/>
      <c r="G584" s="34">
        <v>0</v>
      </c>
      <c r="H584" s="34"/>
      <c r="I584" s="34">
        <v>15905</v>
      </c>
      <c r="J584" s="34"/>
      <c r="K584" s="34">
        <v>0</v>
      </c>
      <c r="L584" s="34"/>
      <c r="M584" s="34">
        <v>0</v>
      </c>
      <c r="N584" s="34"/>
      <c r="O584" s="34">
        <v>0</v>
      </c>
      <c r="P584" s="34"/>
      <c r="Q584" s="34">
        <v>48870</v>
      </c>
      <c r="R584" s="34"/>
      <c r="S584" s="34">
        <v>0</v>
      </c>
      <c r="T584" s="34"/>
      <c r="U584" s="34">
        <v>6496</v>
      </c>
      <c r="V584" s="34"/>
      <c r="W584" s="34">
        <v>0</v>
      </c>
      <c r="X584" s="34"/>
      <c r="Y584" s="34">
        <v>1361</v>
      </c>
      <c r="Z584" s="32"/>
      <c r="AA584" s="34">
        <v>13746</v>
      </c>
      <c r="AB584" s="34"/>
      <c r="AC584" s="34">
        <v>0</v>
      </c>
      <c r="AD584" s="34"/>
      <c r="AE584" s="33">
        <f t="shared" si="8"/>
        <v>160302</v>
      </c>
    </row>
    <row r="585" spans="1:31" ht="12.75" customHeight="1">
      <c r="A585" s="1" t="s">
        <v>688</v>
      </c>
      <c r="C585" s="1" t="s">
        <v>184</v>
      </c>
      <c r="E585" s="34">
        <v>3193</v>
      </c>
      <c r="F585" s="34"/>
      <c r="G585" s="34">
        <v>556</v>
      </c>
      <c r="H585" s="34"/>
      <c r="I585" s="34">
        <v>182</v>
      </c>
      <c r="J585" s="34"/>
      <c r="K585" s="34">
        <v>0</v>
      </c>
      <c r="L585" s="34"/>
      <c r="M585" s="34">
        <v>0</v>
      </c>
      <c r="N585" s="34"/>
      <c r="O585" s="34">
        <v>30</v>
      </c>
      <c r="P585" s="34"/>
      <c r="Q585" s="34">
        <v>31835</v>
      </c>
      <c r="R585" s="34"/>
      <c r="S585" s="34">
        <v>0</v>
      </c>
      <c r="T585" s="34"/>
      <c r="U585" s="34">
        <v>0</v>
      </c>
      <c r="V585" s="34"/>
      <c r="W585" s="34">
        <v>0</v>
      </c>
      <c r="X585" s="34"/>
      <c r="Y585" s="34">
        <v>6000</v>
      </c>
      <c r="Z585" s="32"/>
      <c r="AA585" s="34">
        <v>0</v>
      </c>
      <c r="AB585" s="34"/>
      <c r="AC585" s="34">
        <v>0</v>
      </c>
      <c r="AD585" s="34"/>
      <c r="AE585" s="33">
        <f t="shared" si="8"/>
        <v>41796</v>
      </c>
    </row>
    <row r="586" spans="1:31" ht="12.75" customHeight="1">
      <c r="A586" s="1" t="s">
        <v>397</v>
      </c>
      <c r="C586" s="1" t="s">
        <v>73</v>
      </c>
      <c r="E586" s="34">
        <v>684640</v>
      </c>
      <c r="F586" s="34"/>
      <c r="G586" s="34">
        <v>5146</v>
      </c>
      <c r="H586" s="34"/>
      <c r="I586" s="34">
        <v>2862</v>
      </c>
      <c r="J586" s="34"/>
      <c r="K586" s="34">
        <v>55437</v>
      </c>
      <c r="L586" s="34"/>
      <c r="M586" s="34">
        <v>92634</v>
      </c>
      <c r="N586" s="34"/>
      <c r="O586" s="34">
        <v>183520</v>
      </c>
      <c r="P586" s="34"/>
      <c r="Q586" s="34">
        <v>309071</v>
      </c>
      <c r="R586" s="34"/>
      <c r="S586" s="34">
        <v>0</v>
      </c>
      <c r="T586" s="34"/>
      <c r="U586" s="34">
        <v>0</v>
      </c>
      <c r="V586" s="34"/>
      <c r="W586" s="34">
        <v>0</v>
      </c>
      <c r="X586" s="34"/>
      <c r="Y586" s="34">
        <v>0</v>
      </c>
      <c r="Z586" s="34"/>
      <c r="AA586" s="34">
        <v>0</v>
      </c>
      <c r="AB586" s="32"/>
      <c r="AC586" s="34">
        <v>1975</v>
      </c>
      <c r="AD586" s="34"/>
      <c r="AE586" s="33">
        <f t="shared" si="8"/>
        <v>1335285</v>
      </c>
    </row>
    <row r="587" spans="1:31" ht="12.75" customHeight="1">
      <c r="A587" s="1" t="s">
        <v>398</v>
      </c>
      <c r="C587" s="1" t="s">
        <v>179</v>
      </c>
      <c r="E587" s="34">
        <v>10131</v>
      </c>
      <c r="F587" s="34"/>
      <c r="G587" s="34">
        <v>0</v>
      </c>
      <c r="H587" s="34"/>
      <c r="I587" s="34">
        <v>0</v>
      </c>
      <c r="J587" s="34"/>
      <c r="K587" s="34">
        <v>2194</v>
      </c>
      <c r="L587" s="34"/>
      <c r="M587" s="34">
        <v>5408</v>
      </c>
      <c r="N587" s="34"/>
      <c r="O587" s="34">
        <v>1000</v>
      </c>
      <c r="P587" s="34"/>
      <c r="Q587" s="34">
        <v>126177</v>
      </c>
      <c r="R587" s="34"/>
      <c r="S587" s="34">
        <v>0</v>
      </c>
      <c r="T587" s="34"/>
      <c r="U587" s="34">
        <v>0</v>
      </c>
      <c r="V587" s="34"/>
      <c r="W587" s="34">
        <v>0</v>
      </c>
      <c r="X587" s="34"/>
      <c r="Y587" s="34">
        <v>0</v>
      </c>
      <c r="Z587" s="34"/>
      <c r="AA587" s="34">
        <v>0</v>
      </c>
      <c r="AB587" s="32"/>
      <c r="AC587" s="34">
        <v>0</v>
      </c>
      <c r="AD587" s="34"/>
      <c r="AE587" s="33">
        <f t="shared" si="8"/>
        <v>144910</v>
      </c>
    </row>
    <row r="588" spans="1:31" ht="12.75" customHeight="1">
      <c r="A588" s="1" t="s">
        <v>536</v>
      </c>
      <c r="C588" s="1" t="s">
        <v>98</v>
      </c>
      <c r="E588" s="34">
        <v>2263</v>
      </c>
      <c r="F588" s="34"/>
      <c r="G588" s="34">
        <v>1639</v>
      </c>
      <c r="H588" s="34"/>
      <c r="I588" s="34">
        <v>0</v>
      </c>
      <c r="J588" s="34"/>
      <c r="K588" s="34">
        <v>2528</v>
      </c>
      <c r="L588" s="34"/>
      <c r="M588" s="34">
        <v>3699</v>
      </c>
      <c r="N588" s="34"/>
      <c r="O588" s="34">
        <v>0</v>
      </c>
      <c r="P588" s="34"/>
      <c r="Q588" s="34">
        <v>44602</v>
      </c>
      <c r="R588" s="34"/>
      <c r="S588" s="34">
        <v>4026</v>
      </c>
      <c r="T588" s="34"/>
      <c r="U588" s="34">
        <v>0</v>
      </c>
      <c r="V588" s="34"/>
      <c r="W588" s="34">
        <v>0</v>
      </c>
      <c r="X588" s="34"/>
      <c r="Y588" s="34">
        <v>12150</v>
      </c>
      <c r="Z588" s="32"/>
      <c r="AA588" s="34">
        <v>0</v>
      </c>
      <c r="AB588" s="34"/>
      <c r="AC588" s="34">
        <v>0</v>
      </c>
      <c r="AD588" s="34"/>
      <c r="AE588" s="33">
        <f t="shared" si="8"/>
        <v>70907</v>
      </c>
    </row>
    <row r="589" spans="1:31" ht="12.75" customHeight="1">
      <c r="A589" s="1" t="s">
        <v>602</v>
      </c>
      <c r="C589" s="1" t="s">
        <v>69</v>
      </c>
      <c r="E589" s="34">
        <v>108493</v>
      </c>
      <c r="F589" s="34"/>
      <c r="G589" s="34">
        <v>2025</v>
      </c>
      <c r="H589" s="34"/>
      <c r="I589" s="34">
        <v>0</v>
      </c>
      <c r="J589" s="34"/>
      <c r="K589" s="34">
        <v>0</v>
      </c>
      <c r="L589" s="34"/>
      <c r="M589" s="34">
        <v>0</v>
      </c>
      <c r="N589" s="34"/>
      <c r="O589" s="34">
        <v>0</v>
      </c>
      <c r="P589" s="34"/>
      <c r="Q589" s="34">
        <v>49770</v>
      </c>
      <c r="R589" s="34"/>
      <c r="S589" s="34">
        <v>0</v>
      </c>
      <c r="T589" s="34"/>
      <c r="U589" s="34">
        <v>0</v>
      </c>
      <c r="V589" s="34"/>
      <c r="W589" s="34">
        <v>0</v>
      </c>
      <c r="X589" s="34"/>
      <c r="Y589" s="34">
        <v>186</v>
      </c>
      <c r="Z589" s="32"/>
      <c r="AA589" s="34">
        <v>0</v>
      </c>
      <c r="AB589" s="34"/>
      <c r="AC589" s="34">
        <v>0</v>
      </c>
      <c r="AD589" s="34"/>
      <c r="AE589" s="33">
        <f t="shared" si="8"/>
        <v>160474</v>
      </c>
    </row>
    <row r="590" spans="1:31" ht="12.75" customHeight="1">
      <c r="A590" s="1" t="s">
        <v>399</v>
      </c>
      <c r="C590" s="1" t="s">
        <v>197</v>
      </c>
      <c r="E590" s="34">
        <v>199882</v>
      </c>
      <c r="F590" s="34"/>
      <c r="G590" s="34">
        <v>4437</v>
      </c>
      <c r="H590" s="34"/>
      <c r="I590" s="34">
        <v>13624</v>
      </c>
      <c r="J590" s="34"/>
      <c r="K590" s="34">
        <v>0</v>
      </c>
      <c r="L590" s="34"/>
      <c r="M590" s="34">
        <v>8905</v>
      </c>
      <c r="N590" s="34"/>
      <c r="O590" s="34">
        <v>0</v>
      </c>
      <c r="P590" s="34"/>
      <c r="Q590" s="34">
        <v>103084</v>
      </c>
      <c r="R590" s="34"/>
      <c r="S590" s="34">
        <v>0</v>
      </c>
      <c r="T590" s="34"/>
      <c r="U590" s="34">
        <v>0</v>
      </c>
      <c r="V590" s="34"/>
      <c r="W590" s="34">
        <v>0</v>
      </c>
      <c r="X590" s="34"/>
      <c r="Y590" s="34">
        <v>0</v>
      </c>
      <c r="Z590" s="34"/>
      <c r="AA590" s="34">
        <v>0</v>
      </c>
      <c r="AB590" s="32"/>
      <c r="AC590" s="34">
        <v>0</v>
      </c>
      <c r="AD590" s="34"/>
      <c r="AE590" s="33">
        <f t="shared" si="8"/>
        <v>329932</v>
      </c>
    </row>
    <row r="591" spans="1:31" ht="12.75" customHeight="1">
      <c r="A591" s="1" t="s">
        <v>514</v>
      </c>
      <c r="C591" s="1" t="s">
        <v>160</v>
      </c>
      <c r="E591" s="34">
        <v>2618</v>
      </c>
      <c r="F591" s="34"/>
      <c r="G591" s="34">
        <v>0</v>
      </c>
      <c r="H591" s="34"/>
      <c r="I591" s="34">
        <v>0</v>
      </c>
      <c r="J591" s="34"/>
      <c r="K591" s="34">
        <v>0</v>
      </c>
      <c r="L591" s="34"/>
      <c r="M591" s="34">
        <v>0</v>
      </c>
      <c r="N591" s="34"/>
      <c r="O591" s="34">
        <v>0</v>
      </c>
      <c r="P591" s="34"/>
      <c r="Q591" s="34">
        <v>7915</v>
      </c>
      <c r="R591" s="34"/>
      <c r="S591" s="34">
        <v>0</v>
      </c>
      <c r="T591" s="34"/>
      <c r="U591" s="34">
        <v>0</v>
      </c>
      <c r="V591" s="34"/>
      <c r="W591" s="34">
        <v>0</v>
      </c>
      <c r="X591" s="34"/>
      <c r="Y591" s="34">
        <v>0</v>
      </c>
      <c r="Z591" s="32"/>
      <c r="AA591" s="34">
        <v>0</v>
      </c>
      <c r="AB591" s="34"/>
      <c r="AC591" s="34">
        <v>592</v>
      </c>
      <c r="AD591" s="34"/>
      <c r="AE591" s="33">
        <f t="shared" si="8"/>
        <v>11125</v>
      </c>
    </row>
    <row r="592" spans="1:31" ht="12.75" customHeight="1">
      <c r="A592" s="1" t="s">
        <v>400</v>
      </c>
      <c r="C592" s="1" t="s">
        <v>94</v>
      </c>
      <c r="E592" s="34">
        <v>22079</v>
      </c>
      <c r="F592" s="34"/>
      <c r="G592" s="34">
        <v>252</v>
      </c>
      <c r="H592" s="34"/>
      <c r="I592" s="34">
        <v>7730</v>
      </c>
      <c r="J592" s="34"/>
      <c r="K592" s="34">
        <v>1480</v>
      </c>
      <c r="L592" s="34"/>
      <c r="M592" s="34">
        <v>3947</v>
      </c>
      <c r="N592" s="34"/>
      <c r="O592" s="34">
        <v>943</v>
      </c>
      <c r="P592" s="34"/>
      <c r="Q592" s="34">
        <v>37628</v>
      </c>
      <c r="R592" s="34"/>
      <c r="S592" s="34">
        <v>0</v>
      </c>
      <c r="T592" s="34"/>
      <c r="U592" s="34">
        <v>0</v>
      </c>
      <c r="V592" s="34"/>
      <c r="W592" s="34">
        <v>0</v>
      </c>
      <c r="X592" s="34"/>
      <c r="Y592" s="34">
        <v>0</v>
      </c>
      <c r="Z592" s="34"/>
      <c r="AA592" s="34">
        <v>0</v>
      </c>
      <c r="AB592" s="32"/>
      <c r="AC592" s="34">
        <v>2249</v>
      </c>
      <c r="AD592" s="34"/>
      <c r="AE592" s="33">
        <f t="shared" si="8"/>
        <v>76308</v>
      </c>
    </row>
    <row r="593" spans="1:31" ht="12.75" customHeight="1">
      <c r="A593" s="1" t="s">
        <v>491</v>
      </c>
      <c r="C593" s="1" t="s">
        <v>194</v>
      </c>
      <c r="E593" s="34">
        <v>36137</v>
      </c>
      <c r="F593" s="34"/>
      <c r="G593" s="34">
        <v>0</v>
      </c>
      <c r="H593" s="34"/>
      <c r="I593" s="34">
        <v>0</v>
      </c>
      <c r="J593" s="34"/>
      <c r="K593" s="34">
        <v>0</v>
      </c>
      <c r="L593" s="34"/>
      <c r="M593" s="34">
        <v>0</v>
      </c>
      <c r="N593" s="34"/>
      <c r="O593" s="34">
        <v>0</v>
      </c>
      <c r="P593" s="34"/>
      <c r="Q593" s="34">
        <v>29588</v>
      </c>
      <c r="R593" s="34"/>
      <c r="S593" s="34">
        <v>0</v>
      </c>
      <c r="T593" s="34"/>
      <c r="U593" s="34">
        <v>0</v>
      </c>
      <c r="V593" s="34"/>
      <c r="W593" s="34">
        <v>0</v>
      </c>
      <c r="X593" s="34"/>
      <c r="Y593" s="34">
        <v>0</v>
      </c>
      <c r="Z593" s="32"/>
      <c r="AA593" s="34">
        <v>0</v>
      </c>
      <c r="AB593" s="34"/>
      <c r="AC593" s="34">
        <v>0</v>
      </c>
      <c r="AD593" s="34"/>
      <c r="AE593" s="33">
        <f t="shared" si="8"/>
        <v>65725</v>
      </c>
    </row>
    <row r="594" spans="1:31" ht="12.75" customHeight="1">
      <c r="A594" s="1" t="s">
        <v>460</v>
      </c>
      <c r="C594" s="1" t="s">
        <v>71</v>
      </c>
      <c r="E594" s="34">
        <v>16218</v>
      </c>
      <c r="F594" s="34"/>
      <c r="G594" s="34">
        <v>0</v>
      </c>
      <c r="H594" s="34"/>
      <c r="I594" s="34">
        <v>0</v>
      </c>
      <c r="J594" s="34"/>
      <c r="K594" s="34">
        <v>0</v>
      </c>
      <c r="L594" s="34"/>
      <c r="M594" s="34">
        <v>0</v>
      </c>
      <c r="N594" s="34"/>
      <c r="O594" s="34">
        <v>0</v>
      </c>
      <c r="P594" s="34"/>
      <c r="Q594" s="34">
        <v>41462</v>
      </c>
      <c r="R594" s="34"/>
      <c r="S594" s="34">
        <v>0</v>
      </c>
      <c r="T594" s="34"/>
      <c r="U594" s="34">
        <v>1671</v>
      </c>
      <c r="V594" s="34"/>
      <c r="W594" s="34">
        <v>563</v>
      </c>
      <c r="X594" s="34"/>
      <c r="Y594" s="34">
        <v>0</v>
      </c>
      <c r="Z594" s="32"/>
      <c r="AA594" s="34">
        <v>0</v>
      </c>
      <c r="AB594" s="34"/>
      <c r="AC594" s="34">
        <v>0</v>
      </c>
      <c r="AD594" s="34"/>
      <c r="AE594" s="33">
        <f aca="true" t="shared" si="9" ref="AE594:AE662">SUM(E594:AC594)</f>
        <v>59914</v>
      </c>
    </row>
    <row r="595" spans="1:31" ht="12.75" customHeight="1">
      <c r="A595" s="1" t="s">
        <v>96</v>
      </c>
      <c r="C595" s="1" t="s">
        <v>96</v>
      </c>
      <c r="E595" s="34">
        <v>41064</v>
      </c>
      <c r="F595" s="34"/>
      <c r="G595" s="34">
        <v>439</v>
      </c>
      <c r="H595" s="34"/>
      <c r="I595" s="34">
        <v>0</v>
      </c>
      <c r="J595" s="34"/>
      <c r="K595" s="34">
        <v>5928</v>
      </c>
      <c r="L595" s="34"/>
      <c r="M595" s="34">
        <v>30311</v>
      </c>
      <c r="N595" s="34"/>
      <c r="O595" s="34">
        <v>0</v>
      </c>
      <c r="P595" s="34"/>
      <c r="Q595" s="34">
        <v>84575</v>
      </c>
      <c r="R595" s="34"/>
      <c r="S595" s="34">
        <v>46621</v>
      </c>
      <c r="T595" s="34"/>
      <c r="U595" s="34">
        <v>11353</v>
      </c>
      <c r="V595" s="34"/>
      <c r="W595" s="34">
        <v>750</v>
      </c>
      <c r="X595" s="34"/>
      <c r="Y595" s="34">
        <v>0</v>
      </c>
      <c r="Z595" s="32"/>
      <c r="AA595" s="34">
        <v>20000</v>
      </c>
      <c r="AB595" s="34"/>
      <c r="AC595" s="34">
        <v>784</v>
      </c>
      <c r="AD595" s="34"/>
      <c r="AE595" s="33">
        <f t="shared" si="9"/>
        <v>241825</v>
      </c>
    </row>
    <row r="596" spans="1:31" ht="12.75" customHeight="1">
      <c r="A596" s="1" t="s">
        <v>401</v>
      </c>
      <c r="C596" s="1" t="s">
        <v>78</v>
      </c>
      <c r="E596" s="34">
        <v>199491</v>
      </c>
      <c r="F596" s="34"/>
      <c r="G596" s="34">
        <v>4120</v>
      </c>
      <c r="H596" s="34"/>
      <c r="I596" s="34">
        <v>0</v>
      </c>
      <c r="J596" s="34"/>
      <c r="K596" s="34">
        <v>542</v>
      </c>
      <c r="L596" s="34"/>
      <c r="M596" s="34">
        <v>52536</v>
      </c>
      <c r="N596" s="34"/>
      <c r="O596" s="34">
        <v>50728</v>
      </c>
      <c r="P596" s="34"/>
      <c r="Q596" s="34">
        <v>288197</v>
      </c>
      <c r="R596" s="34"/>
      <c r="S596" s="34">
        <v>0</v>
      </c>
      <c r="T596" s="34"/>
      <c r="U596" s="34">
        <v>0</v>
      </c>
      <c r="V596" s="34"/>
      <c r="W596" s="34">
        <v>1854</v>
      </c>
      <c r="X596" s="34"/>
      <c r="Y596" s="34">
        <v>82895</v>
      </c>
      <c r="Z596" s="34"/>
      <c r="AA596" s="34">
        <v>0</v>
      </c>
      <c r="AB596" s="32"/>
      <c r="AC596" s="34">
        <v>0</v>
      </c>
      <c r="AD596" s="34"/>
      <c r="AE596" s="33">
        <f t="shared" si="9"/>
        <v>680363</v>
      </c>
    </row>
    <row r="597" spans="1:31" ht="12.75" customHeight="1">
      <c r="A597" s="1" t="s">
        <v>747</v>
      </c>
      <c r="C597" s="1" t="s">
        <v>744</v>
      </c>
      <c r="E597" s="34">
        <v>2470</v>
      </c>
      <c r="F597" s="34"/>
      <c r="G597" s="34">
        <v>0</v>
      </c>
      <c r="H597" s="34"/>
      <c r="I597" s="34">
        <v>436</v>
      </c>
      <c r="J597" s="34"/>
      <c r="K597" s="34">
        <v>0</v>
      </c>
      <c r="L597" s="34"/>
      <c r="M597" s="34">
        <v>121</v>
      </c>
      <c r="N597" s="34"/>
      <c r="O597" s="34">
        <v>0</v>
      </c>
      <c r="P597" s="34"/>
      <c r="Q597" s="34">
        <v>7627</v>
      </c>
      <c r="R597" s="34"/>
      <c r="S597" s="34">
        <v>0</v>
      </c>
      <c r="T597" s="34"/>
      <c r="U597" s="34">
        <v>0</v>
      </c>
      <c r="V597" s="34"/>
      <c r="W597" s="34">
        <v>0</v>
      </c>
      <c r="X597" s="34"/>
      <c r="Y597" s="34">
        <v>0</v>
      </c>
      <c r="Z597" s="32"/>
      <c r="AA597" s="34">
        <v>0</v>
      </c>
      <c r="AB597" s="34"/>
      <c r="AC597" s="34">
        <v>0</v>
      </c>
      <c r="AD597" s="34"/>
      <c r="AE597" s="33">
        <f t="shared" si="9"/>
        <v>10654</v>
      </c>
    </row>
    <row r="598" spans="1:31" ht="12.75" customHeight="1">
      <c r="A598" s="1" t="s">
        <v>463</v>
      </c>
      <c r="C598" s="1" t="s">
        <v>177</v>
      </c>
      <c r="E598" s="34">
        <v>19000</v>
      </c>
      <c r="F598" s="34"/>
      <c r="G598" s="34">
        <v>0</v>
      </c>
      <c r="H598" s="34"/>
      <c r="I598" s="34">
        <v>3336</v>
      </c>
      <c r="J598" s="34"/>
      <c r="K598" s="34">
        <v>0</v>
      </c>
      <c r="L598" s="34"/>
      <c r="M598" s="34">
        <v>20291</v>
      </c>
      <c r="N598" s="34"/>
      <c r="O598" s="34">
        <v>0</v>
      </c>
      <c r="P598" s="34"/>
      <c r="Q598" s="34">
        <v>36577</v>
      </c>
      <c r="R598" s="34"/>
      <c r="S598" s="34">
        <v>0</v>
      </c>
      <c r="T598" s="34"/>
      <c r="U598" s="34">
        <v>0</v>
      </c>
      <c r="V598" s="34"/>
      <c r="W598" s="34">
        <v>0</v>
      </c>
      <c r="X598" s="34"/>
      <c r="Y598" s="34">
        <v>0</v>
      </c>
      <c r="Z598" s="32"/>
      <c r="AA598" s="34">
        <v>0</v>
      </c>
      <c r="AB598" s="34"/>
      <c r="AC598" s="34">
        <v>0</v>
      </c>
      <c r="AD598" s="34"/>
      <c r="AE598" s="33">
        <f t="shared" si="9"/>
        <v>79204</v>
      </c>
    </row>
    <row r="599" spans="1:31" ht="12.75" customHeight="1">
      <c r="A599" s="1" t="s">
        <v>547</v>
      </c>
      <c r="C599" s="1" t="s">
        <v>149</v>
      </c>
      <c r="E599" s="34">
        <v>35844</v>
      </c>
      <c r="F599" s="34"/>
      <c r="G599" s="34">
        <v>0</v>
      </c>
      <c r="H599" s="34"/>
      <c r="I599" s="34">
        <v>18673</v>
      </c>
      <c r="J599" s="34"/>
      <c r="K599" s="34">
        <v>13114</v>
      </c>
      <c r="L599" s="34"/>
      <c r="M599" s="34">
        <v>0</v>
      </c>
      <c r="N599" s="34"/>
      <c r="O599" s="34">
        <v>76213</v>
      </c>
      <c r="P599" s="34"/>
      <c r="Q599" s="34">
        <v>239894</v>
      </c>
      <c r="R599" s="34"/>
      <c r="S599" s="34">
        <v>0</v>
      </c>
      <c r="T599" s="34"/>
      <c r="U599" s="34">
        <v>0</v>
      </c>
      <c r="V599" s="34"/>
      <c r="W599" s="34">
        <v>0</v>
      </c>
      <c r="X599" s="34"/>
      <c r="Y599" s="34">
        <v>0</v>
      </c>
      <c r="Z599" s="32"/>
      <c r="AA599" s="34">
        <v>0</v>
      </c>
      <c r="AB599" s="34"/>
      <c r="AC599" s="34">
        <v>1025</v>
      </c>
      <c r="AD599" s="34"/>
      <c r="AE599" s="33">
        <f t="shared" si="9"/>
        <v>384763</v>
      </c>
    </row>
    <row r="600" spans="1:31" ht="12.75" customHeight="1">
      <c r="A600" s="1" t="s">
        <v>402</v>
      </c>
      <c r="C600" s="1" t="s">
        <v>231</v>
      </c>
      <c r="E600" s="34">
        <v>90606</v>
      </c>
      <c r="F600" s="34"/>
      <c r="G600" s="34">
        <v>6228</v>
      </c>
      <c r="H600" s="34"/>
      <c r="I600" s="34">
        <v>0</v>
      </c>
      <c r="J600" s="34"/>
      <c r="K600" s="34">
        <v>1320</v>
      </c>
      <c r="L600" s="34"/>
      <c r="M600" s="34">
        <v>13534</v>
      </c>
      <c r="N600" s="34"/>
      <c r="O600" s="34">
        <v>0</v>
      </c>
      <c r="P600" s="34"/>
      <c r="Q600" s="34">
        <v>149428</v>
      </c>
      <c r="R600" s="34"/>
      <c r="S600" s="34">
        <v>0</v>
      </c>
      <c r="T600" s="34"/>
      <c r="U600" s="34">
        <v>0</v>
      </c>
      <c r="V600" s="34"/>
      <c r="W600" s="34">
        <v>0</v>
      </c>
      <c r="X600" s="34"/>
      <c r="Y600" s="34">
        <v>307650</v>
      </c>
      <c r="Z600" s="34"/>
      <c r="AA600" s="34">
        <v>0</v>
      </c>
      <c r="AB600" s="32"/>
      <c r="AC600" s="34">
        <v>0</v>
      </c>
      <c r="AD600" s="34"/>
      <c r="AE600" s="33">
        <f t="shared" si="9"/>
        <v>568766</v>
      </c>
    </row>
    <row r="601" spans="1:31" ht="12.75" customHeight="1">
      <c r="A601" s="1" t="s">
        <v>403</v>
      </c>
      <c r="C601" s="1" t="s">
        <v>369</v>
      </c>
      <c r="E601" s="34">
        <v>0</v>
      </c>
      <c r="F601" s="34"/>
      <c r="G601" s="34">
        <v>0</v>
      </c>
      <c r="H601" s="34"/>
      <c r="I601" s="34">
        <v>0</v>
      </c>
      <c r="J601" s="34"/>
      <c r="K601" s="34">
        <v>0</v>
      </c>
      <c r="L601" s="34"/>
      <c r="M601" s="34">
        <v>0</v>
      </c>
      <c r="N601" s="34"/>
      <c r="O601" s="34">
        <v>0</v>
      </c>
      <c r="P601" s="34"/>
      <c r="Q601" s="34">
        <v>31624</v>
      </c>
      <c r="R601" s="34"/>
      <c r="S601" s="34">
        <v>0</v>
      </c>
      <c r="T601" s="34"/>
      <c r="U601" s="34">
        <v>10610</v>
      </c>
      <c r="V601" s="34"/>
      <c r="W601" s="34">
        <v>0</v>
      </c>
      <c r="X601" s="34"/>
      <c r="Y601" s="34">
        <v>0</v>
      </c>
      <c r="Z601" s="34"/>
      <c r="AA601" s="34">
        <v>0</v>
      </c>
      <c r="AB601" s="32"/>
      <c r="AC601" s="34">
        <v>0</v>
      </c>
      <c r="AD601" s="34"/>
      <c r="AE601" s="33">
        <f t="shared" si="9"/>
        <v>42234</v>
      </c>
    </row>
    <row r="602" spans="1:31" ht="12.75" customHeight="1">
      <c r="A602" s="1" t="s">
        <v>404</v>
      </c>
      <c r="C602" s="1" t="s">
        <v>112</v>
      </c>
      <c r="E602" s="34">
        <v>3071474</v>
      </c>
      <c r="F602" s="34"/>
      <c r="G602" s="34">
        <v>11945</v>
      </c>
      <c r="H602" s="34"/>
      <c r="I602" s="34">
        <v>356341</v>
      </c>
      <c r="J602" s="34"/>
      <c r="K602" s="34">
        <v>0</v>
      </c>
      <c r="L602" s="34"/>
      <c r="M602" s="34">
        <v>167814</v>
      </c>
      <c r="N602" s="34"/>
      <c r="O602" s="34">
        <v>587302</v>
      </c>
      <c r="P602" s="34"/>
      <c r="Q602" s="34">
        <v>1555803</v>
      </c>
      <c r="R602" s="34"/>
      <c r="S602" s="34">
        <v>1362747</v>
      </c>
      <c r="T602" s="34"/>
      <c r="U602" s="34">
        <v>0</v>
      </c>
      <c r="V602" s="34"/>
      <c r="W602" s="34">
        <v>0</v>
      </c>
      <c r="X602" s="34"/>
      <c r="Y602" s="34">
        <v>3065009</v>
      </c>
      <c r="Z602" s="34"/>
      <c r="AA602" s="34">
        <v>0</v>
      </c>
      <c r="AB602" s="32"/>
      <c r="AC602" s="34">
        <v>0</v>
      </c>
      <c r="AD602" s="34"/>
      <c r="AE602" s="33">
        <f t="shared" si="9"/>
        <v>10178435</v>
      </c>
    </row>
    <row r="603" spans="1:31" ht="12.75" customHeight="1">
      <c r="A603" s="1" t="s">
        <v>548</v>
      </c>
      <c r="C603" s="1" t="s">
        <v>149</v>
      </c>
      <c r="E603" s="34">
        <v>14213</v>
      </c>
      <c r="F603" s="34"/>
      <c r="G603" s="34">
        <v>1548</v>
      </c>
      <c r="H603" s="34"/>
      <c r="I603" s="34">
        <v>674</v>
      </c>
      <c r="J603" s="34"/>
      <c r="K603" s="34">
        <v>0</v>
      </c>
      <c r="L603" s="34"/>
      <c r="M603" s="34">
        <v>0</v>
      </c>
      <c r="N603" s="34"/>
      <c r="O603" s="34">
        <v>0</v>
      </c>
      <c r="P603" s="34"/>
      <c r="Q603" s="34">
        <v>79934</v>
      </c>
      <c r="R603" s="34"/>
      <c r="S603" s="34">
        <v>1839</v>
      </c>
      <c r="T603" s="34"/>
      <c r="U603" s="34">
        <v>0</v>
      </c>
      <c r="V603" s="34"/>
      <c r="W603" s="34">
        <v>21839</v>
      </c>
      <c r="X603" s="34"/>
      <c r="Y603" s="34">
        <v>0</v>
      </c>
      <c r="Z603" s="32"/>
      <c r="AA603" s="34">
        <v>0</v>
      </c>
      <c r="AB603" s="34"/>
      <c r="AC603" s="34">
        <v>0</v>
      </c>
      <c r="AD603" s="34"/>
      <c r="AE603" s="33">
        <f t="shared" si="9"/>
        <v>120047</v>
      </c>
    </row>
    <row r="604" spans="1:31" ht="12.75" customHeight="1">
      <c r="A604" s="1" t="s">
        <v>405</v>
      </c>
      <c r="C604" s="1" t="s">
        <v>114</v>
      </c>
      <c r="E604" s="34">
        <v>11055</v>
      </c>
      <c r="F604" s="34"/>
      <c r="G604" s="34">
        <v>1462</v>
      </c>
      <c r="H604" s="34"/>
      <c r="I604" s="34">
        <v>478</v>
      </c>
      <c r="J604" s="34"/>
      <c r="K604" s="34">
        <v>3340</v>
      </c>
      <c r="L604" s="34"/>
      <c r="M604" s="34">
        <v>12363</v>
      </c>
      <c r="N604" s="34"/>
      <c r="O604" s="34">
        <v>10257</v>
      </c>
      <c r="P604" s="34"/>
      <c r="Q604" s="34">
        <v>20282</v>
      </c>
      <c r="R604" s="34"/>
      <c r="S604" s="34">
        <v>0</v>
      </c>
      <c r="T604" s="34"/>
      <c r="U604" s="34">
        <v>24351</v>
      </c>
      <c r="V604" s="34"/>
      <c r="W604" s="34">
        <v>0</v>
      </c>
      <c r="X604" s="34"/>
      <c r="Y604" s="34">
        <v>15000</v>
      </c>
      <c r="Z604" s="34"/>
      <c r="AA604" s="34">
        <v>0</v>
      </c>
      <c r="AB604" s="32"/>
      <c r="AC604" s="34">
        <v>0</v>
      </c>
      <c r="AD604" s="34"/>
      <c r="AE604" s="33">
        <f t="shared" si="9"/>
        <v>98588</v>
      </c>
    </row>
    <row r="605" spans="1:31" ht="12.75" customHeight="1">
      <c r="A605" s="1" t="s">
        <v>574</v>
      </c>
      <c r="C605" s="1" t="s">
        <v>114</v>
      </c>
      <c r="E605" s="34">
        <v>5695</v>
      </c>
      <c r="F605" s="34"/>
      <c r="G605" s="34">
        <v>1486</v>
      </c>
      <c r="H605" s="34"/>
      <c r="I605" s="34">
        <v>1631</v>
      </c>
      <c r="J605" s="34"/>
      <c r="K605" s="34">
        <v>1559</v>
      </c>
      <c r="L605" s="34"/>
      <c r="M605" s="34">
        <v>0</v>
      </c>
      <c r="N605" s="34"/>
      <c r="O605" s="34">
        <v>8371</v>
      </c>
      <c r="P605" s="34"/>
      <c r="Q605" s="34">
        <v>38480</v>
      </c>
      <c r="R605" s="34"/>
      <c r="S605" s="34">
        <v>0</v>
      </c>
      <c r="T605" s="34"/>
      <c r="U605" s="34">
        <v>0</v>
      </c>
      <c r="V605" s="34"/>
      <c r="W605" s="34">
        <v>0</v>
      </c>
      <c r="X605" s="34"/>
      <c r="Y605" s="34">
        <v>520</v>
      </c>
      <c r="Z605" s="32"/>
      <c r="AA605" s="34">
        <v>0</v>
      </c>
      <c r="AB605" s="34"/>
      <c r="AC605" s="34">
        <v>163</v>
      </c>
      <c r="AD605" s="34"/>
      <c r="AE605" s="33">
        <f t="shared" si="9"/>
        <v>57905</v>
      </c>
    </row>
    <row r="606" spans="1:31" ht="12.75" customHeight="1">
      <c r="A606" s="1" t="s">
        <v>750</v>
      </c>
      <c r="C606" s="1" t="s">
        <v>192</v>
      </c>
      <c r="E606" s="34">
        <v>2253</v>
      </c>
      <c r="F606" s="34"/>
      <c r="G606" s="34">
        <v>2271</v>
      </c>
      <c r="H606" s="34"/>
      <c r="I606" s="34">
        <v>4248</v>
      </c>
      <c r="J606" s="34"/>
      <c r="K606" s="34">
        <v>4</v>
      </c>
      <c r="L606" s="34"/>
      <c r="M606" s="34">
        <v>0</v>
      </c>
      <c r="N606" s="34"/>
      <c r="O606" s="34">
        <v>2450</v>
      </c>
      <c r="P606" s="34"/>
      <c r="Q606" s="34">
        <v>10768</v>
      </c>
      <c r="R606" s="34"/>
      <c r="S606" s="34">
        <v>0</v>
      </c>
      <c r="T606" s="34"/>
      <c r="U606" s="34">
        <v>0</v>
      </c>
      <c r="V606" s="34"/>
      <c r="W606" s="34">
        <v>0</v>
      </c>
      <c r="X606" s="34"/>
      <c r="Y606" s="34">
        <v>0</v>
      </c>
      <c r="Z606" s="32"/>
      <c r="AA606" s="34">
        <v>0</v>
      </c>
      <c r="AB606" s="34"/>
      <c r="AC606" s="34">
        <v>0</v>
      </c>
      <c r="AD606" s="34"/>
      <c r="AE606" s="33">
        <f t="shared" si="9"/>
        <v>21994</v>
      </c>
    </row>
    <row r="607" spans="1:31" ht="12.75" customHeight="1">
      <c r="A607" s="1" t="s">
        <v>406</v>
      </c>
      <c r="C607" s="1" t="s">
        <v>225</v>
      </c>
      <c r="E607" s="34">
        <v>38458</v>
      </c>
      <c r="F607" s="34"/>
      <c r="G607" s="34">
        <v>0</v>
      </c>
      <c r="H607" s="34"/>
      <c r="I607" s="34">
        <v>7225</v>
      </c>
      <c r="J607" s="34"/>
      <c r="K607" s="34">
        <v>691</v>
      </c>
      <c r="L607" s="34"/>
      <c r="M607" s="34">
        <v>0</v>
      </c>
      <c r="N607" s="34"/>
      <c r="O607" s="34">
        <v>0</v>
      </c>
      <c r="P607" s="34"/>
      <c r="Q607" s="34">
        <v>42765</v>
      </c>
      <c r="R607" s="34"/>
      <c r="S607" s="34">
        <v>0</v>
      </c>
      <c r="T607" s="34"/>
      <c r="U607" s="34">
        <v>0</v>
      </c>
      <c r="V607" s="34"/>
      <c r="W607" s="34">
        <v>0</v>
      </c>
      <c r="X607" s="34"/>
      <c r="Y607" s="34">
        <v>0</v>
      </c>
      <c r="Z607" s="34"/>
      <c r="AA607" s="34">
        <v>0</v>
      </c>
      <c r="AB607" s="32"/>
      <c r="AC607" s="34">
        <v>0</v>
      </c>
      <c r="AD607" s="34"/>
      <c r="AE607" s="33">
        <f t="shared" si="9"/>
        <v>89139</v>
      </c>
    </row>
    <row r="608" spans="1:31" ht="12.75" customHeight="1">
      <c r="A608" s="1" t="s">
        <v>407</v>
      </c>
      <c r="C608" s="1" t="s">
        <v>78</v>
      </c>
      <c r="E608" s="34">
        <v>344863</v>
      </c>
      <c r="F608" s="34"/>
      <c r="G608" s="34">
        <v>16682</v>
      </c>
      <c r="H608" s="34"/>
      <c r="I608" s="34">
        <v>0</v>
      </c>
      <c r="J608" s="34"/>
      <c r="K608" s="34">
        <v>8997</v>
      </c>
      <c r="L608" s="34"/>
      <c r="M608" s="34">
        <v>182955</v>
      </c>
      <c r="N608" s="34"/>
      <c r="O608" s="34">
        <v>0</v>
      </c>
      <c r="P608" s="34"/>
      <c r="Q608" s="34">
        <v>405196</v>
      </c>
      <c r="R608" s="34"/>
      <c r="S608" s="34">
        <v>0</v>
      </c>
      <c r="T608" s="34"/>
      <c r="U608" s="34">
        <v>15798</v>
      </c>
      <c r="V608" s="34"/>
      <c r="W608" s="34">
        <v>15147</v>
      </c>
      <c r="X608" s="34"/>
      <c r="Y608" s="34">
        <v>1202365</v>
      </c>
      <c r="Z608" s="34"/>
      <c r="AA608" s="34">
        <v>0</v>
      </c>
      <c r="AB608" s="32"/>
      <c r="AC608" s="34">
        <v>0</v>
      </c>
      <c r="AD608" s="34"/>
      <c r="AE608" s="33">
        <f t="shared" si="9"/>
        <v>2192003</v>
      </c>
    </row>
    <row r="609" spans="1:31" ht="12.75" customHeight="1">
      <c r="A609" s="1" t="s">
        <v>236</v>
      </c>
      <c r="C609" s="1" t="s">
        <v>210</v>
      </c>
      <c r="E609" s="34">
        <v>31306</v>
      </c>
      <c r="F609" s="34"/>
      <c r="G609" s="34">
        <v>4160</v>
      </c>
      <c r="H609" s="34"/>
      <c r="I609" s="34">
        <v>53012</v>
      </c>
      <c r="J609" s="34"/>
      <c r="K609" s="34">
        <v>0</v>
      </c>
      <c r="L609" s="34"/>
      <c r="M609" s="34">
        <v>1640</v>
      </c>
      <c r="N609" s="34"/>
      <c r="O609" s="34">
        <v>0</v>
      </c>
      <c r="P609" s="34"/>
      <c r="Q609" s="34">
        <v>51444</v>
      </c>
      <c r="R609" s="34"/>
      <c r="S609" s="34">
        <v>0</v>
      </c>
      <c r="T609" s="34"/>
      <c r="U609" s="34">
        <v>0</v>
      </c>
      <c r="V609" s="34"/>
      <c r="W609" s="34">
        <v>0</v>
      </c>
      <c r="X609" s="34"/>
      <c r="Y609" s="34">
        <v>0</v>
      </c>
      <c r="Z609" s="32"/>
      <c r="AA609" s="34">
        <v>0</v>
      </c>
      <c r="AB609" s="34"/>
      <c r="AC609" s="34">
        <v>0</v>
      </c>
      <c r="AD609" s="34"/>
      <c r="AE609" s="33">
        <f t="shared" si="9"/>
        <v>141562</v>
      </c>
    </row>
    <row r="610" spans="1:31" ht="12.75" customHeight="1">
      <c r="A610" s="1" t="s">
        <v>408</v>
      </c>
      <c r="C610" s="1" t="s">
        <v>197</v>
      </c>
      <c r="E610" s="34">
        <v>512706</v>
      </c>
      <c r="F610" s="34"/>
      <c r="G610" s="34">
        <v>10338</v>
      </c>
      <c r="H610" s="34"/>
      <c r="I610" s="34">
        <v>0</v>
      </c>
      <c r="J610" s="34"/>
      <c r="K610" s="34">
        <v>8568</v>
      </c>
      <c r="L610" s="34"/>
      <c r="M610" s="34">
        <v>31283</v>
      </c>
      <c r="N610" s="34"/>
      <c r="O610" s="34">
        <v>270308</v>
      </c>
      <c r="P610" s="34"/>
      <c r="Q610" s="34">
        <v>198148</v>
      </c>
      <c r="R610" s="34"/>
      <c r="S610" s="34">
        <v>0</v>
      </c>
      <c r="T610" s="34"/>
      <c r="U610" s="34">
        <v>0</v>
      </c>
      <c r="V610" s="34"/>
      <c r="W610" s="34">
        <v>0</v>
      </c>
      <c r="X610" s="34"/>
      <c r="Y610" s="34">
        <v>167500</v>
      </c>
      <c r="Z610" s="34"/>
      <c r="AA610" s="34">
        <v>0</v>
      </c>
      <c r="AB610" s="32"/>
      <c r="AC610" s="34">
        <v>0</v>
      </c>
      <c r="AD610" s="34"/>
      <c r="AE610" s="33">
        <f t="shared" si="9"/>
        <v>1198851</v>
      </c>
    </row>
    <row r="611" spans="1:31" ht="12.75" customHeight="1">
      <c r="A611" s="1" t="s">
        <v>776</v>
      </c>
      <c r="C611" s="1" t="s">
        <v>94</v>
      </c>
      <c r="E611" s="34">
        <v>426271</v>
      </c>
      <c r="F611" s="34"/>
      <c r="G611" s="34">
        <v>3304</v>
      </c>
      <c r="H611" s="34"/>
      <c r="I611" s="34">
        <v>94988</v>
      </c>
      <c r="J611" s="34"/>
      <c r="K611" s="34">
        <v>3542</v>
      </c>
      <c r="L611" s="34"/>
      <c r="M611" s="34">
        <v>0</v>
      </c>
      <c r="N611" s="34"/>
      <c r="O611" s="34">
        <v>7157</v>
      </c>
      <c r="P611" s="34"/>
      <c r="Q611" s="34">
        <v>455812</v>
      </c>
      <c r="R611" s="34"/>
      <c r="S611" s="34">
        <v>0</v>
      </c>
      <c r="T611" s="34"/>
      <c r="U611" s="34">
        <v>0</v>
      </c>
      <c r="V611" s="34"/>
      <c r="W611" s="34">
        <v>0</v>
      </c>
      <c r="X611" s="34"/>
      <c r="Y611" s="34">
        <v>0</v>
      </c>
      <c r="Z611" s="32"/>
      <c r="AA611" s="34">
        <v>0</v>
      </c>
      <c r="AB611" s="34"/>
      <c r="AC611" s="34">
        <v>0</v>
      </c>
      <c r="AD611" s="34"/>
      <c r="AE611" s="33">
        <f t="shared" si="9"/>
        <v>991074</v>
      </c>
    </row>
    <row r="612" spans="1:31" ht="12.75" customHeight="1">
      <c r="A612" s="1" t="s">
        <v>640</v>
      </c>
      <c r="C612" s="1" t="s">
        <v>268</v>
      </c>
      <c r="E612" s="34">
        <v>5438</v>
      </c>
      <c r="F612" s="34"/>
      <c r="G612" s="34">
        <v>1514</v>
      </c>
      <c r="H612" s="34"/>
      <c r="I612" s="34">
        <v>0</v>
      </c>
      <c r="J612" s="34"/>
      <c r="K612" s="34">
        <v>1798</v>
      </c>
      <c r="L612" s="34"/>
      <c r="M612" s="34">
        <v>1000</v>
      </c>
      <c r="N612" s="34"/>
      <c r="O612" s="34">
        <v>10169</v>
      </c>
      <c r="P612" s="34"/>
      <c r="Q612" s="34">
        <v>22902</v>
      </c>
      <c r="R612" s="34"/>
      <c r="S612" s="34">
        <v>0</v>
      </c>
      <c r="T612" s="34"/>
      <c r="U612" s="34">
        <v>0</v>
      </c>
      <c r="V612" s="34"/>
      <c r="W612" s="34">
        <v>0</v>
      </c>
      <c r="X612" s="34"/>
      <c r="Y612" s="34">
        <v>0</v>
      </c>
      <c r="Z612" s="32"/>
      <c r="AA612" s="34">
        <v>0</v>
      </c>
      <c r="AB612" s="34"/>
      <c r="AC612" s="34">
        <v>0</v>
      </c>
      <c r="AD612" s="34"/>
      <c r="AE612" s="33">
        <f t="shared" si="9"/>
        <v>42821</v>
      </c>
    </row>
    <row r="613" spans="1:31" ht="12.75" customHeight="1">
      <c r="A613" s="1" t="s">
        <v>519</v>
      </c>
      <c r="C613" s="1" t="s">
        <v>112</v>
      </c>
      <c r="E613" s="34">
        <v>1974414</v>
      </c>
      <c r="F613" s="34"/>
      <c r="G613" s="34">
        <v>10398</v>
      </c>
      <c r="H613" s="34"/>
      <c r="I613" s="34">
        <v>182138</v>
      </c>
      <c r="J613" s="34"/>
      <c r="K613" s="34">
        <v>99901</v>
      </c>
      <c r="L613" s="34"/>
      <c r="M613" s="34">
        <v>419563</v>
      </c>
      <c r="N613" s="34"/>
      <c r="O613" s="34">
        <v>898793</v>
      </c>
      <c r="P613" s="34"/>
      <c r="Q613" s="34">
        <v>791687</v>
      </c>
      <c r="R613" s="34"/>
      <c r="S613" s="34">
        <v>6344</v>
      </c>
      <c r="T613" s="34"/>
      <c r="U613" s="34">
        <v>0</v>
      </c>
      <c r="V613" s="34"/>
      <c r="W613" s="34">
        <v>0</v>
      </c>
      <c r="X613" s="34"/>
      <c r="Y613" s="34">
        <v>92800</v>
      </c>
      <c r="Z613" s="32"/>
      <c r="AA613" s="34">
        <v>0</v>
      </c>
      <c r="AB613" s="34"/>
      <c r="AC613" s="34">
        <v>0</v>
      </c>
      <c r="AD613" s="34"/>
      <c r="AE613" s="33">
        <f t="shared" si="9"/>
        <v>4476038</v>
      </c>
    </row>
    <row r="614" spans="1:31" ht="12.75" customHeight="1">
      <c r="A614" s="1" t="s">
        <v>512</v>
      </c>
      <c r="C614" s="1" t="s">
        <v>170</v>
      </c>
      <c r="E614" s="34">
        <v>37266</v>
      </c>
      <c r="F614" s="34"/>
      <c r="G614" s="34">
        <v>3233</v>
      </c>
      <c r="H614" s="34"/>
      <c r="I614" s="34">
        <v>17680</v>
      </c>
      <c r="J614" s="34"/>
      <c r="K614" s="34">
        <v>1000</v>
      </c>
      <c r="L614" s="34"/>
      <c r="M614" s="34">
        <v>700</v>
      </c>
      <c r="N614" s="34"/>
      <c r="O614" s="34">
        <v>0</v>
      </c>
      <c r="P614" s="34"/>
      <c r="Q614" s="34">
        <v>64113</v>
      </c>
      <c r="R614" s="34"/>
      <c r="S614" s="34">
        <v>0</v>
      </c>
      <c r="T614" s="34"/>
      <c r="U614" s="34">
        <v>0</v>
      </c>
      <c r="V614" s="34"/>
      <c r="W614" s="34">
        <v>2775</v>
      </c>
      <c r="X614" s="34"/>
      <c r="Y614" s="34">
        <v>1056</v>
      </c>
      <c r="Z614" s="32"/>
      <c r="AA614" s="34">
        <v>250</v>
      </c>
      <c r="AB614" s="34"/>
      <c r="AC614" s="34">
        <v>13456</v>
      </c>
      <c r="AD614" s="34"/>
      <c r="AE614" s="33">
        <f t="shared" si="9"/>
        <v>141529</v>
      </c>
    </row>
    <row r="615" spans="1:31" ht="12.75" customHeight="1">
      <c r="A615" s="1" t="s">
        <v>511</v>
      </c>
      <c r="C615" s="1" t="s">
        <v>414</v>
      </c>
      <c r="E615" s="34">
        <v>9120</v>
      </c>
      <c r="F615" s="34"/>
      <c r="G615" s="34">
        <v>392</v>
      </c>
      <c r="H615" s="34"/>
      <c r="I615" s="34">
        <v>0</v>
      </c>
      <c r="J615" s="34"/>
      <c r="K615" s="34">
        <v>0</v>
      </c>
      <c r="L615" s="34"/>
      <c r="M615" s="34">
        <v>0</v>
      </c>
      <c r="N615" s="34"/>
      <c r="O615" s="34">
        <v>0</v>
      </c>
      <c r="P615" s="34"/>
      <c r="Q615" s="34">
        <v>68827</v>
      </c>
      <c r="R615" s="34"/>
      <c r="S615" s="34">
        <v>0</v>
      </c>
      <c r="T615" s="34"/>
      <c r="U615" s="34">
        <v>1896</v>
      </c>
      <c r="V615" s="34"/>
      <c r="W615" s="34">
        <v>239</v>
      </c>
      <c r="X615" s="34"/>
      <c r="Y615" s="34">
        <v>0</v>
      </c>
      <c r="Z615" s="32"/>
      <c r="AA615" s="34">
        <v>0</v>
      </c>
      <c r="AB615" s="34"/>
      <c r="AC615" s="34">
        <v>438</v>
      </c>
      <c r="AD615" s="34"/>
      <c r="AE615" s="33">
        <f t="shared" si="9"/>
        <v>80912</v>
      </c>
    </row>
    <row r="616" spans="1:31" ht="12.75" customHeight="1">
      <c r="A616" s="1" t="s">
        <v>409</v>
      </c>
      <c r="C616" s="1" t="s">
        <v>250</v>
      </c>
      <c r="E616" s="34">
        <v>1554390</v>
      </c>
      <c r="F616" s="34"/>
      <c r="G616" s="34">
        <v>19711</v>
      </c>
      <c r="H616" s="34"/>
      <c r="I616" s="34">
        <v>48490</v>
      </c>
      <c r="J616" s="34"/>
      <c r="K616" s="34">
        <v>32279</v>
      </c>
      <c r="L616" s="34"/>
      <c r="M616" s="34">
        <v>181247</v>
      </c>
      <c r="N616" s="34"/>
      <c r="O616" s="34">
        <v>0</v>
      </c>
      <c r="P616" s="34"/>
      <c r="Q616" s="34">
        <v>924948</v>
      </c>
      <c r="R616" s="34"/>
      <c r="S616" s="34">
        <v>18818</v>
      </c>
      <c r="T616" s="34"/>
      <c r="U616" s="34">
        <v>0</v>
      </c>
      <c r="V616" s="34"/>
      <c r="W616" s="34">
        <v>0</v>
      </c>
      <c r="X616" s="34"/>
      <c r="Y616" s="34">
        <v>2000</v>
      </c>
      <c r="Z616" s="34"/>
      <c r="AA616" s="34">
        <v>0</v>
      </c>
      <c r="AB616" s="32"/>
      <c r="AC616" s="34">
        <v>0</v>
      </c>
      <c r="AD616" s="34"/>
      <c r="AE616" s="33">
        <f t="shared" si="9"/>
        <v>2781883</v>
      </c>
    </row>
    <row r="617" spans="1:31" ht="12.75" customHeight="1">
      <c r="A617" s="1" t="s">
        <v>410</v>
      </c>
      <c r="C617" s="1" t="s">
        <v>78</v>
      </c>
      <c r="E617" s="34">
        <v>137</v>
      </c>
      <c r="F617" s="34"/>
      <c r="G617" s="34">
        <v>2828</v>
      </c>
      <c r="H617" s="34"/>
      <c r="I617" s="34">
        <v>26540</v>
      </c>
      <c r="J617" s="34"/>
      <c r="K617" s="34">
        <v>45553</v>
      </c>
      <c r="L617" s="34"/>
      <c r="M617" s="34">
        <v>5040</v>
      </c>
      <c r="N617" s="34"/>
      <c r="O617" s="34">
        <v>0</v>
      </c>
      <c r="P617" s="34"/>
      <c r="Q617" s="34">
        <v>25629</v>
      </c>
      <c r="R617" s="34"/>
      <c r="S617" s="34">
        <v>0</v>
      </c>
      <c r="T617" s="34"/>
      <c r="U617" s="34">
        <v>0</v>
      </c>
      <c r="V617" s="34"/>
      <c r="W617" s="34">
        <v>0</v>
      </c>
      <c r="X617" s="34"/>
      <c r="Y617" s="34">
        <v>0</v>
      </c>
      <c r="Z617" s="34"/>
      <c r="AA617" s="34">
        <v>0</v>
      </c>
      <c r="AB617" s="32"/>
      <c r="AC617" s="34">
        <v>0</v>
      </c>
      <c r="AD617" s="34"/>
      <c r="AE617" s="33">
        <f t="shared" si="9"/>
        <v>105727</v>
      </c>
    </row>
    <row r="618" spans="1:31" ht="12.75" customHeight="1">
      <c r="A618" s="1" t="s">
        <v>411</v>
      </c>
      <c r="C618" s="1" t="s">
        <v>106</v>
      </c>
      <c r="E618" s="34">
        <v>33510</v>
      </c>
      <c r="F618" s="34"/>
      <c r="G618" s="34">
        <v>0</v>
      </c>
      <c r="H618" s="34"/>
      <c r="I618" s="34">
        <v>0</v>
      </c>
      <c r="J618" s="34"/>
      <c r="K618" s="34">
        <v>0</v>
      </c>
      <c r="L618" s="34"/>
      <c r="M618" s="34">
        <v>0</v>
      </c>
      <c r="N618" s="34"/>
      <c r="O618" s="34">
        <v>0</v>
      </c>
      <c r="P618" s="34"/>
      <c r="Q618" s="34">
        <v>95318</v>
      </c>
      <c r="R618" s="34"/>
      <c r="S618" s="34">
        <v>1800</v>
      </c>
      <c r="T618" s="34"/>
      <c r="U618" s="34">
        <v>0</v>
      </c>
      <c r="V618" s="34"/>
      <c r="W618" s="34">
        <v>0</v>
      </c>
      <c r="X618" s="34"/>
      <c r="Y618" s="34">
        <v>0</v>
      </c>
      <c r="Z618" s="34"/>
      <c r="AA618" s="34">
        <v>10000</v>
      </c>
      <c r="AB618" s="32"/>
      <c r="AC618" s="34">
        <v>0</v>
      </c>
      <c r="AD618" s="34"/>
      <c r="AE618" s="33">
        <f t="shared" si="9"/>
        <v>140628</v>
      </c>
    </row>
    <row r="619" spans="1:31" ht="12.75" customHeight="1">
      <c r="A619" s="1" t="s">
        <v>464</v>
      </c>
      <c r="C619" s="1" t="s">
        <v>177</v>
      </c>
      <c r="E619" s="34">
        <v>48341</v>
      </c>
      <c r="F619" s="34"/>
      <c r="G619" s="34">
        <v>457</v>
      </c>
      <c r="H619" s="34"/>
      <c r="I619" s="34">
        <v>10456</v>
      </c>
      <c r="J619" s="34"/>
      <c r="K619" s="34">
        <v>0</v>
      </c>
      <c r="L619" s="34"/>
      <c r="M619" s="34">
        <v>0</v>
      </c>
      <c r="N619" s="34"/>
      <c r="O619" s="34">
        <v>13859</v>
      </c>
      <c r="P619" s="34"/>
      <c r="Q619" s="34">
        <v>88585</v>
      </c>
      <c r="R619" s="34"/>
      <c r="S619" s="34">
        <v>0</v>
      </c>
      <c r="T619" s="34"/>
      <c r="U619" s="34">
        <v>0</v>
      </c>
      <c r="V619" s="34"/>
      <c r="W619" s="34">
        <v>0</v>
      </c>
      <c r="X619" s="34"/>
      <c r="Y619" s="34">
        <v>29035</v>
      </c>
      <c r="Z619" s="32"/>
      <c r="AA619" s="34">
        <v>0</v>
      </c>
      <c r="AB619" s="34"/>
      <c r="AC619" s="34">
        <v>0</v>
      </c>
      <c r="AD619" s="34"/>
      <c r="AE619" s="33">
        <f t="shared" si="9"/>
        <v>190733</v>
      </c>
    </row>
    <row r="620" spans="1:31" ht="12.75" customHeight="1">
      <c r="A620" s="1" t="s">
        <v>412</v>
      </c>
      <c r="C620" s="1" t="s">
        <v>228</v>
      </c>
      <c r="E620" s="34">
        <v>752922</v>
      </c>
      <c r="F620" s="34"/>
      <c r="G620" s="34">
        <v>10471</v>
      </c>
      <c r="H620" s="34"/>
      <c r="I620" s="34">
        <v>34262</v>
      </c>
      <c r="J620" s="34"/>
      <c r="K620" s="34">
        <v>139817</v>
      </c>
      <c r="L620" s="34"/>
      <c r="M620" s="34">
        <v>0</v>
      </c>
      <c r="N620" s="34"/>
      <c r="O620" s="34">
        <v>653899</v>
      </c>
      <c r="P620" s="34"/>
      <c r="Q620" s="34">
        <v>391490</v>
      </c>
      <c r="R620" s="34"/>
      <c r="S620" s="34">
        <v>0</v>
      </c>
      <c r="T620" s="34"/>
      <c r="U620" s="34">
        <v>0</v>
      </c>
      <c r="V620" s="34"/>
      <c r="W620" s="34">
        <v>0</v>
      </c>
      <c r="X620" s="34"/>
      <c r="Y620" s="34">
        <v>170000</v>
      </c>
      <c r="Z620" s="34"/>
      <c r="AA620" s="34">
        <v>240000</v>
      </c>
      <c r="AB620" s="32"/>
      <c r="AC620" s="34">
        <v>0</v>
      </c>
      <c r="AD620" s="34"/>
      <c r="AE620" s="33">
        <f t="shared" si="9"/>
        <v>2392861</v>
      </c>
    </row>
    <row r="621" spans="1:31" ht="12.75" customHeight="1">
      <c r="A621" s="1" t="s">
        <v>413</v>
      </c>
      <c r="C621" s="1" t="s">
        <v>414</v>
      </c>
      <c r="E621" s="34">
        <v>366957</v>
      </c>
      <c r="F621" s="34"/>
      <c r="G621" s="34">
        <v>0</v>
      </c>
      <c r="H621" s="34"/>
      <c r="I621" s="34">
        <v>13349</v>
      </c>
      <c r="J621" s="34"/>
      <c r="K621" s="34">
        <v>0</v>
      </c>
      <c r="L621" s="34"/>
      <c r="M621" s="34">
        <v>0</v>
      </c>
      <c r="N621" s="34"/>
      <c r="O621" s="34">
        <v>0</v>
      </c>
      <c r="P621" s="34"/>
      <c r="Q621" s="34">
        <v>336920</v>
      </c>
      <c r="R621" s="34"/>
      <c r="S621" s="34">
        <v>0</v>
      </c>
      <c r="T621" s="34"/>
      <c r="U621" s="34">
        <v>0</v>
      </c>
      <c r="V621" s="34"/>
      <c r="W621" s="34">
        <v>0</v>
      </c>
      <c r="X621" s="34"/>
      <c r="Y621" s="34">
        <v>129998</v>
      </c>
      <c r="Z621" s="34"/>
      <c r="AA621" s="34">
        <v>0</v>
      </c>
      <c r="AB621" s="32"/>
      <c r="AC621" s="34">
        <v>0</v>
      </c>
      <c r="AD621" s="34"/>
      <c r="AE621" s="33">
        <f t="shared" si="9"/>
        <v>847224</v>
      </c>
    </row>
    <row r="622" spans="1:31" ht="12.75" customHeight="1">
      <c r="A622" s="1" t="s">
        <v>413</v>
      </c>
      <c r="C622" s="1" t="s">
        <v>414</v>
      </c>
      <c r="E622" s="34">
        <v>366957</v>
      </c>
      <c r="F622" s="34"/>
      <c r="G622" s="34">
        <v>0</v>
      </c>
      <c r="H622" s="34"/>
      <c r="I622" s="34">
        <v>13349</v>
      </c>
      <c r="J622" s="34"/>
      <c r="K622" s="34">
        <v>0</v>
      </c>
      <c r="L622" s="34"/>
      <c r="M622" s="34">
        <v>0</v>
      </c>
      <c r="N622" s="34"/>
      <c r="O622" s="34">
        <v>0</v>
      </c>
      <c r="P622" s="34"/>
      <c r="Q622" s="34">
        <v>336920</v>
      </c>
      <c r="R622" s="34"/>
      <c r="S622" s="34">
        <v>0</v>
      </c>
      <c r="T622" s="34"/>
      <c r="U622" s="34">
        <v>0</v>
      </c>
      <c r="V622" s="34"/>
      <c r="W622" s="34">
        <v>0</v>
      </c>
      <c r="X622" s="34"/>
      <c r="Y622" s="34">
        <v>129998</v>
      </c>
      <c r="Z622" s="32"/>
      <c r="AA622" s="34">
        <v>27196</v>
      </c>
      <c r="AB622" s="34"/>
      <c r="AC622" s="34">
        <v>0</v>
      </c>
      <c r="AD622" s="34"/>
      <c r="AE622" s="33">
        <f t="shared" si="9"/>
        <v>874420</v>
      </c>
    </row>
    <row r="623" spans="1:31" ht="12.75" customHeight="1">
      <c r="A623" s="1" t="s">
        <v>415</v>
      </c>
      <c r="C623" s="1" t="s">
        <v>225</v>
      </c>
      <c r="E623" s="34">
        <v>184495</v>
      </c>
      <c r="F623" s="34"/>
      <c r="G623" s="34">
        <v>3438</v>
      </c>
      <c r="H623" s="34"/>
      <c r="I623" s="34">
        <v>24526</v>
      </c>
      <c r="J623" s="34"/>
      <c r="K623" s="34">
        <v>3911</v>
      </c>
      <c r="L623" s="34"/>
      <c r="M623" s="34">
        <v>0</v>
      </c>
      <c r="N623" s="34"/>
      <c r="O623" s="34">
        <v>0</v>
      </c>
      <c r="P623" s="34"/>
      <c r="Q623" s="34">
        <v>115497</v>
      </c>
      <c r="R623" s="34"/>
      <c r="S623" s="34">
        <v>7780</v>
      </c>
      <c r="T623" s="34"/>
      <c r="U623" s="34">
        <v>7900</v>
      </c>
      <c r="V623" s="34"/>
      <c r="W623" s="34">
        <v>2100</v>
      </c>
      <c r="X623" s="34"/>
      <c r="Y623" s="34">
        <v>0</v>
      </c>
      <c r="Z623" s="34"/>
      <c r="AA623" s="34">
        <v>0</v>
      </c>
      <c r="AB623" s="32"/>
      <c r="AC623" s="34">
        <v>0</v>
      </c>
      <c r="AD623" s="34"/>
      <c r="AE623" s="33">
        <f t="shared" si="9"/>
        <v>349647</v>
      </c>
    </row>
    <row r="624" spans="1:31" ht="12.75" customHeight="1">
      <c r="A624" s="1" t="s">
        <v>700</v>
      </c>
      <c r="C624" s="1" t="s">
        <v>225</v>
      </c>
      <c r="E624" s="34">
        <v>11673</v>
      </c>
      <c r="F624" s="34"/>
      <c r="G624" s="34">
        <v>0</v>
      </c>
      <c r="H624" s="34"/>
      <c r="I624" s="34">
        <v>314</v>
      </c>
      <c r="J624" s="34"/>
      <c r="K624" s="34">
        <v>0</v>
      </c>
      <c r="L624" s="34"/>
      <c r="M624" s="34">
        <v>0</v>
      </c>
      <c r="N624" s="34"/>
      <c r="O624" s="34">
        <v>0</v>
      </c>
      <c r="P624" s="34"/>
      <c r="Q624" s="34">
        <v>26833</v>
      </c>
      <c r="R624" s="34"/>
      <c r="S624" s="34">
        <v>0</v>
      </c>
      <c r="T624" s="34"/>
      <c r="U624" s="34">
        <v>0</v>
      </c>
      <c r="V624" s="34"/>
      <c r="W624" s="34">
        <v>2834</v>
      </c>
      <c r="X624" s="34"/>
      <c r="Y624" s="34">
        <v>0</v>
      </c>
      <c r="Z624" s="32"/>
      <c r="AA624" s="34">
        <v>0</v>
      </c>
      <c r="AB624" s="34"/>
      <c r="AC624" s="34">
        <v>0</v>
      </c>
      <c r="AD624" s="34"/>
      <c r="AE624" s="33">
        <f t="shared" si="9"/>
        <v>41654</v>
      </c>
    </row>
    <row r="625" spans="1:31" ht="12.75" customHeight="1">
      <c r="A625" s="1" t="s">
        <v>736</v>
      </c>
      <c r="C625" s="1" t="s">
        <v>276</v>
      </c>
      <c r="E625" s="34">
        <v>0</v>
      </c>
      <c r="F625" s="34"/>
      <c r="G625" s="34">
        <v>0</v>
      </c>
      <c r="H625" s="34"/>
      <c r="I625" s="34">
        <v>10348</v>
      </c>
      <c r="J625" s="34"/>
      <c r="K625" s="34">
        <v>0</v>
      </c>
      <c r="L625" s="34"/>
      <c r="M625" s="34">
        <v>0</v>
      </c>
      <c r="N625" s="34"/>
      <c r="O625" s="34">
        <v>0</v>
      </c>
      <c r="P625" s="34"/>
      <c r="Q625" s="34">
        <v>41843</v>
      </c>
      <c r="R625" s="34"/>
      <c r="S625" s="34">
        <v>1383</v>
      </c>
      <c r="T625" s="34"/>
      <c r="U625" s="34">
        <v>0</v>
      </c>
      <c r="V625" s="34"/>
      <c r="W625" s="34">
        <v>0</v>
      </c>
      <c r="X625" s="34"/>
      <c r="Y625" s="34">
        <v>23168</v>
      </c>
      <c r="Z625" s="32"/>
      <c r="AA625" s="34">
        <v>3735</v>
      </c>
      <c r="AB625" s="34"/>
      <c r="AC625" s="34">
        <v>0</v>
      </c>
      <c r="AD625" s="34"/>
      <c r="AE625" s="33">
        <f t="shared" si="9"/>
        <v>80477</v>
      </c>
    </row>
    <row r="626" spans="1:31" ht="12.75" customHeight="1">
      <c r="A626" s="1" t="s">
        <v>416</v>
      </c>
      <c r="C626" s="1" t="s">
        <v>293</v>
      </c>
      <c r="E626" s="34">
        <v>845431</v>
      </c>
      <c r="F626" s="34"/>
      <c r="G626" s="34">
        <v>0</v>
      </c>
      <c r="H626" s="34"/>
      <c r="I626" s="34">
        <v>32195</v>
      </c>
      <c r="J626" s="34"/>
      <c r="K626" s="34">
        <v>51975</v>
      </c>
      <c r="L626" s="34"/>
      <c r="M626" s="34">
        <v>0</v>
      </c>
      <c r="N626" s="34"/>
      <c r="O626" s="34">
        <v>0</v>
      </c>
      <c r="P626" s="34"/>
      <c r="Q626" s="34">
        <v>492632</v>
      </c>
      <c r="R626" s="34"/>
      <c r="S626" s="34">
        <v>0</v>
      </c>
      <c r="T626" s="34"/>
      <c r="U626" s="34">
        <v>0</v>
      </c>
      <c r="V626" s="34"/>
      <c r="W626" s="34">
        <v>0</v>
      </c>
      <c r="X626" s="34"/>
      <c r="Y626" s="34">
        <v>53929</v>
      </c>
      <c r="Z626" s="34"/>
      <c r="AA626" s="34">
        <v>0</v>
      </c>
      <c r="AB626" s="32"/>
      <c r="AC626" s="34">
        <v>0</v>
      </c>
      <c r="AD626" s="34"/>
      <c r="AE626" s="33">
        <f t="shared" si="9"/>
        <v>1476162</v>
      </c>
    </row>
    <row r="627" spans="1:31" ht="12.75" customHeight="1">
      <c r="A627" s="1" t="s">
        <v>417</v>
      </c>
      <c r="C627" s="1" t="s">
        <v>170</v>
      </c>
      <c r="E627" s="34">
        <v>353246</v>
      </c>
      <c r="F627" s="34"/>
      <c r="G627" s="34">
        <v>3142</v>
      </c>
      <c r="H627" s="34"/>
      <c r="I627" s="34">
        <v>2426</v>
      </c>
      <c r="J627" s="34"/>
      <c r="K627" s="34">
        <v>0</v>
      </c>
      <c r="L627" s="34"/>
      <c r="M627" s="34">
        <v>0</v>
      </c>
      <c r="N627" s="34"/>
      <c r="O627" s="34">
        <v>0</v>
      </c>
      <c r="P627" s="34"/>
      <c r="Q627" s="34">
        <v>117667</v>
      </c>
      <c r="R627" s="34"/>
      <c r="S627" s="34">
        <v>0</v>
      </c>
      <c r="T627" s="34"/>
      <c r="U627" s="34">
        <v>0</v>
      </c>
      <c r="V627" s="34"/>
      <c r="W627" s="34">
        <v>0</v>
      </c>
      <c r="X627" s="34"/>
      <c r="Y627" s="34">
        <v>0</v>
      </c>
      <c r="Z627" s="34"/>
      <c r="AA627" s="34">
        <v>0</v>
      </c>
      <c r="AB627" s="32"/>
      <c r="AC627" s="34">
        <v>0</v>
      </c>
      <c r="AD627" s="34"/>
      <c r="AE627" s="33">
        <f t="shared" si="9"/>
        <v>476481</v>
      </c>
    </row>
    <row r="628" spans="1:31" ht="12.75" customHeight="1">
      <c r="A628" s="1" t="s">
        <v>418</v>
      </c>
      <c r="C628" s="1" t="s">
        <v>110</v>
      </c>
      <c r="E628" s="34">
        <v>8206</v>
      </c>
      <c r="F628" s="34"/>
      <c r="G628" s="34">
        <v>0</v>
      </c>
      <c r="H628" s="34"/>
      <c r="I628" s="34">
        <v>1583</v>
      </c>
      <c r="J628" s="34"/>
      <c r="K628" s="34">
        <v>0</v>
      </c>
      <c r="L628" s="34"/>
      <c r="M628" s="34">
        <v>3585</v>
      </c>
      <c r="N628" s="34"/>
      <c r="O628" s="34">
        <v>3907</v>
      </c>
      <c r="P628" s="34"/>
      <c r="Q628" s="34">
        <v>40384</v>
      </c>
      <c r="R628" s="34"/>
      <c r="S628" s="34">
        <v>0</v>
      </c>
      <c r="T628" s="34"/>
      <c r="U628" s="34">
        <v>0</v>
      </c>
      <c r="V628" s="34"/>
      <c r="W628" s="34">
        <v>0</v>
      </c>
      <c r="X628" s="34"/>
      <c r="Y628" s="34">
        <v>0</v>
      </c>
      <c r="Z628" s="34"/>
      <c r="AA628" s="34">
        <v>0</v>
      </c>
      <c r="AB628" s="32"/>
      <c r="AC628" s="34">
        <v>0</v>
      </c>
      <c r="AD628" s="34"/>
      <c r="AE628" s="33">
        <f t="shared" si="9"/>
        <v>57665</v>
      </c>
    </row>
    <row r="629" spans="1:31" ht="12.75" customHeight="1">
      <c r="A629" s="1" t="s">
        <v>622</v>
      </c>
      <c r="C629" s="1" t="s">
        <v>369</v>
      </c>
      <c r="E629" s="34">
        <v>313200</v>
      </c>
      <c r="F629" s="34"/>
      <c r="G629" s="34">
        <v>0</v>
      </c>
      <c r="H629" s="34"/>
      <c r="I629" s="34">
        <v>10941</v>
      </c>
      <c r="J629" s="34"/>
      <c r="K629" s="34">
        <v>1748</v>
      </c>
      <c r="L629" s="34"/>
      <c r="M629" s="34">
        <v>0</v>
      </c>
      <c r="N629" s="34"/>
      <c r="O629" s="34">
        <v>3911</v>
      </c>
      <c r="P629" s="34"/>
      <c r="Q629" s="34">
        <v>107345</v>
      </c>
      <c r="R629" s="34"/>
      <c r="S629" s="34">
        <v>0</v>
      </c>
      <c r="T629" s="34"/>
      <c r="U629" s="34">
        <v>0</v>
      </c>
      <c r="V629" s="34"/>
      <c r="W629" s="34">
        <v>0</v>
      </c>
      <c r="X629" s="34"/>
      <c r="Y629" s="34">
        <v>35189</v>
      </c>
      <c r="Z629" s="32"/>
      <c r="AA629" s="34">
        <v>2078</v>
      </c>
      <c r="AB629" s="34"/>
      <c r="AC629" s="34">
        <v>53171</v>
      </c>
      <c r="AD629" s="34"/>
      <c r="AE629" s="33">
        <f t="shared" si="9"/>
        <v>527583</v>
      </c>
    </row>
    <row r="630" spans="1:31" ht="12.75" customHeight="1">
      <c r="A630" s="1" t="s">
        <v>419</v>
      </c>
      <c r="C630" s="1" t="s">
        <v>225</v>
      </c>
      <c r="E630" s="34">
        <v>5201</v>
      </c>
      <c r="F630" s="34"/>
      <c r="G630" s="34">
        <v>0</v>
      </c>
      <c r="H630" s="34"/>
      <c r="I630" s="34">
        <v>0</v>
      </c>
      <c r="J630" s="34"/>
      <c r="K630" s="34">
        <v>718</v>
      </c>
      <c r="L630" s="34"/>
      <c r="M630" s="34">
        <v>18504</v>
      </c>
      <c r="N630" s="34"/>
      <c r="O630" s="34">
        <v>6765</v>
      </c>
      <c r="P630" s="34"/>
      <c r="Q630" s="34">
        <f>1425+1110.79+13687+1466+10554+13047-1</f>
        <v>41288.79</v>
      </c>
      <c r="R630" s="34"/>
      <c r="S630" s="34">
        <v>0</v>
      </c>
      <c r="T630" s="34"/>
      <c r="U630" s="34">
        <v>0</v>
      </c>
      <c r="V630" s="34"/>
      <c r="W630" s="34">
        <v>123243</v>
      </c>
      <c r="X630" s="34"/>
      <c r="Y630" s="34">
        <v>0</v>
      </c>
      <c r="Z630" s="34"/>
      <c r="AA630" s="34">
        <v>0</v>
      </c>
      <c r="AB630" s="32"/>
      <c r="AC630" s="34">
        <v>0</v>
      </c>
      <c r="AD630" s="34"/>
      <c r="AE630" s="33">
        <f t="shared" si="9"/>
        <v>195719.79</v>
      </c>
    </row>
    <row r="631" spans="1:31" ht="12.75" customHeight="1">
      <c r="A631" s="1" t="s">
        <v>777</v>
      </c>
      <c r="C631" s="1" t="s">
        <v>94</v>
      </c>
      <c r="E631" s="34">
        <v>38061</v>
      </c>
      <c r="F631" s="34"/>
      <c r="G631" s="34">
        <v>143</v>
      </c>
      <c r="H631" s="34"/>
      <c r="I631" s="34">
        <v>9</v>
      </c>
      <c r="J631" s="34"/>
      <c r="K631" s="34">
        <v>0</v>
      </c>
      <c r="L631" s="34"/>
      <c r="M631" s="34">
        <v>25</v>
      </c>
      <c r="N631" s="34"/>
      <c r="O631" s="34">
        <v>791</v>
      </c>
      <c r="P631" s="34"/>
      <c r="Q631" s="34">
        <v>30207</v>
      </c>
      <c r="R631" s="34"/>
      <c r="S631" s="34">
        <v>798</v>
      </c>
      <c r="T631" s="34"/>
      <c r="U631" s="34">
        <v>0</v>
      </c>
      <c r="V631" s="34"/>
      <c r="W631" s="34">
        <v>0</v>
      </c>
      <c r="X631" s="34"/>
      <c r="Y631" s="34">
        <v>0</v>
      </c>
      <c r="Z631" s="32"/>
      <c r="AA631" s="34">
        <v>0</v>
      </c>
      <c r="AB631" s="34"/>
      <c r="AC631" s="34">
        <v>43</v>
      </c>
      <c r="AD631" s="34"/>
      <c r="AE631" s="33">
        <f t="shared" si="9"/>
        <v>70077</v>
      </c>
    </row>
    <row r="632" spans="1:31" ht="12.75" customHeight="1">
      <c r="A632" s="1" t="s">
        <v>420</v>
      </c>
      <c r="C632" s="1" t="s">
        <v>155</v>
      </c>
      <c r="E632" s="34">
        <v>714821</v>
      </c>
      <c r="F632" s="34"/>
      <c r="G632" s="34">
        <v>0</v>
      </c>
      <c r="H632" s="34"/>
      <c r="I632" s="34">
        <v>4826</v>
      </c>
      <c r="J632" s="34"/>
      <c r="K632" s="34">
        <v>14275</v>
      </c>
      <c r="L632" s="34"/>
      <c r="M632" s="34">
        <v>0</v>
      </c>
      <c r="N632" s="34"/>
      <c r="O632" s="34">
        <v>0</v>
      </c>
      <c r="P632" s="34"/>
      <c r="Q632" s="34">
        <v>385150</v>
      </c>
      <c r="R632" s="34"/>
      <c r="S632" s="34">
        <v>272685</v>
      </c>
      <c r="T632" s="34"/>
      <c r="U632" s="34">
        <v>0</v>
      </c>
      <c r="V632" s="34"/>
      <c r="W632" s="34">
        <v>0</v>
      </c>
      <c r="X632" s="34"/>
      <c r="Y632" s="34">
        <v>72112</v>
      </c>
      <c r="Z632" s="34"/>
      <c r="AA632" s="34">
        <v>0</v>
      </c>
      <c r="AB632" s="32"/>
      <c r="AC632" s="34">
        <v>0</v>
      </c>
      <c r="AD632" s="34"/>
      <c r="AE632" s="33">
        <f t="shared" si="9"/>
        <v>1463869</v>
      </c>
    </row>
    <row r="633" spans="1:31" ht="12.75" customHeight="1">
      <c r="A633" s="1" t="s">
        <v>421</v>
      </c>
      <c r="C633" s="1" t="s">
        <v>98</v>
      </c>
      <c r="E633" s="34">
        <v>0</v>
      </c>
      <c r="F633" s="34"/>
      <c r="G633" s="34">
        <v>328</v>
      </c>
      <c r="H633" s="34"/>
      <c r="I633" s="34">
        <v>0</v>
      </c>
      <c r="J633" s="34"/>
      <c r="K633" s="34">
        <v>877</v>
      </c>
      <c r="L633" s="34"/>
      <c r="M633" s="34">
        <v>830</v>
      </c>
      <c r="N633" s="34"/>
      <c r="O633" s="34">
        <v>0</v>
      </c>
      <c r="P633" s="34"/>
      <c r="Q633" s="34">
        <v>15985</v>
      </c>
      <c r="R633" s="34"/>
      <c r="S633" s="34">
        <v>0</v>
      </c>
      <c r="T633" s="34"/>
      <c r="U633" s="34">
        <v>0</v>
      </c>
      <c r="V633" s="34"/>
      <c r="W633" s="34">
        <v>0</v>
      </c>
      <c r="X633" s="34"/>
      <c r="Y633" s="34">
        <v>0</v>
      </c>
      <c r="Z633" s="34"/>
      <c r="AA633" s="34">
        <v>0</v>
      </c>
      <c r="AB633" s="32"/>
      <c r="AC633" s="34">
        <v>71</v>
      </c>
      <c r="AD633" s="34"/>
      <c r="AE633" s="33">
        <f t="shared" si="9"/>
        <v>18091</v>
      </c>
    </row>
    <row r="634" spans="1:31" ht="12.75" customHeight="1">
      <c r="A634" s="1" t="s">
        <v>763</v>
      </c>
      <c r="C634" s="1" t="s">
        <v>84</v>
      </c>
      <c r="E634" s="34">
        <v>114187</v>
      </c>
      <c r="F634" s="34"/>
      <c r="G634" s="34">
        <v>4110</v>
      </c>
      <c r="H634" s="34"/>
      <c r="I634" s="34">
        <v>10837</v>
      </c>
      <c r="J634" s="34"/>
      <c r="K634" s="34">
        <v>8140</v>
      </c>
      <c r="L634" s="34"/>
      <c r="M634" s="34">
        <v>0</v>
      </c>
      <c r="N634" s="34"/>
      <c r="O634" s="34">
        <v>0</v>
      </c>
      <c r="P634" s="34"/>
      <c r="Q634" s="34">
        <v>161025</v>
      </c>
      <c r="R634" s="34"/>
      <c r="S634" s="34">
        <v>14609</v>
      </c>
      <c r="T634" s="34"/>
      <c r="U634" s="34">
        <v>10434</v>
      </c>
      <c r="V634" s="34"/>
      <c r="W634" s="34">
        <v>0</v>
      </c>
      <c r="X634" s="34"/>
      <c r="Y634" s="34">
        <v>11410</v>
      </c>
      <c r="Z634" s="32"/>
      <c r="AA634" s="34">
        <v>0</v>
      </c>
      <c r="AB634" s="34"/>
      <c r="AC634" s="34">
        <v>0</v>
      </c>
      <c r="AD634" s="34"/>
      <c r="AE634" s="33">
        <f t="shared" si="9"/>
        <v>334752</v>
      </c>
    </row>
    <row r="635" spans="1:31" ht="12.75" customHeight="1">
      <c r="A635" s="1" t="s">
        <v>444</v>
      </c>
      <c r="C635" s="1" t="s">
        <v>346</v>
      </c>
      <c r="E635" s="34">
        <v>322124</v>
      </c>
      <c r="F635" s="34"/>
      <c r="G635" s="34">
        <v>0</v>
      </c>
      <c r="H635" s="34"/>
      <c r="I635" s="34">
        <v>0</v>
      </c>
      <c r="J635" s="34"/>
      <c r="K635" s="34">
        <v>2907</v>
      </c>
      <c r="L635" s="34"/>
      <c r="M635" s="34">
        <v>0</v>
      </c>
      <c r="N635" s="34"/>
      <c r="O635" s="34">
        <v>17547</v>
      </c>
      <c r="P635" s="34"/>
      <c r="Q635" s="34">
        <v>214073</v>
      </c>
      <c r="R635" s="34"/>
      <c r="S635" s="34">
        <v>116592</v>
      </c>
      <c r="T635" s="34"/>
      <c r="U635" s="34">
        <v>0</v>
      </c>
      <c r="V635" s="34"/>
      <c r="W635" s="34">
        <v>0</v>
      </c>
      <c r="X635" s="34"/>
      <c r="Y635" s="34">
        <v>15834</v>
      </c>
      <c r="Z635" s="32"/>
      <c r="AA635" s="34">
        <v>0</v>
      </c>
      <c r="AB635" s="34"/>
      <c r="AC635" s="34">
        <v>0</v>
      </c>
      <c r="AD635" s="34"/>
      <c r="AE635" s="33">
        <f t="shared" si="9"/>
        <v>689077</v>
      </c>
    </row>
    <row r="636" spans="1:31" ht="12.75" customHeight="1">
      <c r="A636" s="1" t="s">
        <v>767</v>
      </c>
      <c r="C636" s="1" t="s">
        <v>190</v>
      </c>
      <c r="E636" s="34">
        <v>195484</v>
      </c>
      <c r="F636" s="34"/>
      <c r="G636" s="34">
        <v>8861</v>
      </c>
      <c r="H636" s="34"/>
      <c r="I636" s="34">
        <v>0</v>
      </c>
      <c r="J636" s="34"/>
      <c r="K636" s="34">
        <v>2243</v>
      </c>
      <c r="L636" s="34"/>
      <c r="M636" s="34">
        <v>12805</v>
      </c>
      <c r="N636" s="34"/>
      <c r="O636" s="34">
        <v>0</v>
      </c>
      <c r="P636" s="34"/>
      <c r="Q636" s="34">
        <v>187120</v>
      </c>
      <c r="R636" s="34"/>
      <c r="S636" s="34">
        <v>0</v>
      </c>
      <c r="T636" s="34"/>
      <c r="U636" s="34">
        <v>0</v>
      </c>
      <c r="V636" s="34"/>
      <c r="W636" s="34">
        <v>0</v>
      </c>
      <c r="X636" s="34"/>
      <c r="Y636" s="34">
        <v>0</v>
      </c>
      <c r="Z636" s="32"/>
      <c r="AA636" s="34">
        <v>3077</v>
      </c>
      <c r="AB636" s="34"/>
      <c r="AC636" s="34">
        <v>0</v>
      </c>
      <c r="AD636" s="34"/>
      <c r="AE636" s="33">
        <f t="shared" si="9"/>
        <v>409590</v>
      </c>
    </row>
    <row r="637" spans="5:31" ht="12.75" customHeight="1"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2"/>
      <c r="AA637" s="34"/>
      <c r="AB637" s="34"/>
      <c r="AD637" s="34"/>
      <c r="AE637" s="34" t="s">
        <v>785</v>
      </c>
    </row>
    <row r="638" spans="1:31" s="36" customFormat="1" ht="12.75" customHeight="1">
      <c r="A638" s="36" t="s">
        <v>645</v>
      </c>
      <c r="C638" s="36" t="s">
        <v>274</v>
      </c>
      <c r="E638" s="39">
        <v>216773</v>
      </c>
      <c r="F638" s="39"/>
      <c r="G638" s="39">
        <v>665</v>
      </c>
      <c r="H638" s="39"/>
      <c r="I638" s="39">
        <v>7116</v>
      </c>
      <c r="J638" s="39"/>
      <c r="K638" s="39">
        <v>3895</v>
      </c>
      <c r="L638" s="39"/>
      <c r="M638" s="39">
        <v>0</v>
      </c>
      <c r="N638" s="39"/>
      <c r="O638" s="39">
        <v>92268</v>
      </c>
      <c r="P638" s="39"/>
      <c r="Q638" s="39">
        <v>239114</v>
      </c>
      <c r="R638" s="39"/>
      <c r="S638" s="39">
        <v>477969</v>
      </c>
      <c r="T638" s="39"/>
      <c r="U638" s="39">
        <v>92829</v>
      </c>
      <c r="V638" s="39"/>
      <c r="W638" s="39">
        <v>40396</v>
      </c>
      <c r="X638" s="39"/>
      <c r="Y638" s="39">
        <v>238943</v>
      </c>
      <c r="Z638" s="38"/>
      <c r="AA638" s="39">
        <v>0</v>
      </c>
      <c r="AB638" s="39"/>
      <c r="AC638" s="39">
        <v>0</v>
      </c>
      <c r="AD638" s="39"/>
      <c r="AE638" s="40">
        <f t="shared" si="9"/>
        <v>1409968</v>
      </c>
    </row>
    <row r="639" spans="1:31" s="16" customFormat="1" ht="12.75" customHeight="1">
      <c r="A639" s="16" t="s">
        <v>778</v>
      </c>
      <c r="C639" s="16" t="s">
        <v>94</v>
      </c>
      <c r="E639" s="34">
        <v>99002</v>
      </c>
      <c r="F639" s="34"/>
      <c r="G639" s="34">
        <v>699</v>
      </c>
      <c r="H639" s="34"/>
      <c r="I639" s="34">
        <v>18595</v>
      </c>
      <c r="J639" s="34"/>
      <c r="K639" s="34">
        <v>336</v>
      </c>
      <c r="L639" s="34"/>
      <c r="M639" s="34">
        <v>3247</v>
      </c>
      <c r="N639" s="34"/>
      <c r="O639" s="34">
        <v>0</v>
      </c>
      <c r="P639" s="34"/>
      <c r="Q639" s="34">
        <v>235380</v>
      </c>
      <c r="R639" s="34"/>
      <c r="S639" s="34">
        <v>0</v>
      </c>
      <c r="T639" s="34"/>
      <c r="U639" s="34">
        <v>0</v>
      </c>
      <c r="V639" s="34"/>
      <c r="W639" s="34">
        <v>0</v>
      </c>
      <c r="X639" s="34"/>
      <c r="Y639" s="34">
        <v>262653</v>
      </c>
      <c r="Z639" s="32"/>
      <c r="AA639" s="34">
        <v>0</v>
      </c>
      <c r="AB639" s="34"/>
      <c r="AC639" s="34">
        <v>0</v>
      </c>
      <c r="AD639" s="34"/>
      <c r="AE639" s="33">
        <f t="shared" si="9"/>
        <v>619912</v>
      </c>
    </row>
    <row r="640" spans="1:31" ht="12.75" customHeight="1">
      <c r="A640" s="1" t="s">
        <v>422</v>
      </c>
      <c r="C640" s="1" t="s">
        <v>250</v>
      </c>
      <c r="E640" s="34">
        <v>988231</v>
      </c>
      <c r="F640" s="34"/>
      <c r="G640" s="34">
        <v>12387</v>
      </c>
      <c r="H640" s="34"/>
      <c r="I640" s="34">
        <v>25752</v>
      </c>
      <c r="J640" s="34"/>
      <c r="K640" s="34">
        <v>36419</v>
      </c>
      <c r="L640" s="34"/>
      <c r="M640" s="34">
        <v>172328</v>
      </c>
      <c r="N640" s="34"/>
      <c r="O640" s="34">
        <v>0</v>
      </c>
      <c r="P640" s="34"/>
      <c r="Q640" s="34">
        <v>444652</v>
      </c>
      <c r="R640" s="34"/>
      <c r="S640" s="34">
        <v>53206</v>
      </c>
      <c r="T640" s="34"/>
      <c r="U640" s="34">
        <v>0</v>
      </c>
      <c r="V640" s="34"/>
      <c r="W640" s="34">
        <v>0</v>
      </c>
      <c r="X640" s="34"/>
      <c r="Y640" s="34">
        <v>110000</v>
      </c>
      <c r="Z640" s="34"/>
      <c r="AA640" s="34">
        <v>0</v>
      </c>
      <c r="AB640" s="32"/>
      <c r="AC640" s="34">
        <v>0</v>
      </c>
      <c r="AD640" s="34"/>
      <c r="AE640" s="33">
        <f t="shared" si="9"/>
        <v>1842975</v>
      </c>
    </row>
    <row r="641" spans="1:31" ht="12.75" customHeight="1">
      <c r="A641" s="1" t="s">
        <v>423</v>
      </c>
      <c r="C641" s="1" t="s">
        <v>236</v>
      </c>
      <c r="E641" s="34">
        <v>2874</v>
      </c>
      <c r="F641" s="34"/>
      <c r="G641" s="34">
        <v>1774</v>
      </c>
      <c r="H641" s="34"/>
      <c r="I641" s="34">
        <v>0</v>
      </c>
      <c r="J641" s="34"/>
      <c r="K641" s="34">
        <v>0</v>
      </c>
      <c r="L641" s="34"/>
      <c r="M641" s="34">
        <v>165</v>
      </c>
      <c r="N641" s="34"/>
      <c r="O641" s="34">
        <v>0</v>
      </c>
      <c r="P641" s="34"/>
      <c r="Q641" s="34">
        <v>10802</v>
      </c>
      <c r="R641" s="34"/>
      <c r="S641" s="34">
        <v>0</v>
      </c>
      <c r="T641" s="34"/>
      <c r="U641" s="34">
        <v>0</v>
      </c>
      <c r="V641" s="34"/>
      <c r="W641" s="34">
        <v>0</v>
      </c>
      <c r="X641" s="34"/>
      <c r="Y641" s="34">
        <v>0</v>
      </c>
      <c r="Z641" s="34"/>
      <c r="AA641" s="34">
        <v>0</v>
      </c>
      <c r="AB641" s="32"/>
      <c r="AC641" s="34">
        <v>0</v>
      </c>
      <c r="AD641" s="34"/>
      <c r="AE641" s="33">
        <f t="shared" si="9"/>
        <v>15615</v>
      </c>
    </row>
    <row r="642" spans="1:31" ht="12.75" customHeight="1">
      <c r="A642" s="1" t="s">
        <v>498</v>
      </c>
      <c r="C642" s="1" t="s">
        <v>102</v>
      </c>
      <c r="E642" s="34">
        <v>300414</v>
      </c>
      <c r="F642" s="34"/>
      <c r="G642" s="34">
        <v>6000</v>
      </c>
      <c r="H642" s="34"/>
      <c r="I642" s="34">
        <v>0</v>
      </c>
      <c r="J642" s="34"/>
      <c r="K642" s="34">
        <v>47767</v>
      </c>
      <c r="L642" s="34"/>
      <c r="M642" s="34">
        <v>0</v>
      </c>
      <c r="N642" s="34"/>
      <c r="O642" s="34">
        <v>0</v>
      </c>
      <c r="P642" s="34"/>
      <c r="Q642" s="34">
        <v>161597</v>
      </c>
      <c r="R642" s="34"/>
      <c r="S642" s="34">
        <v>21511</v>
      </c>
      <c r="T642" s="34"/>
      <c r="U642" s="34">
        <v>0</v>
      </c>
      <c r="V642" s="34"/>
      <c r="W642" s="34">
        <v>0</v>
      </c>
      <c r="X642" s="34"/>
      <c r="Y642" s="34">
        <v>0</v>
      </c>
      <c r="Z642" s="32"/>
      <c r="AA642" s="34">
        <v>0</v>
      </c>
      <c r="AB642" s="34"/>
      <c r="AC642" s="34">
        <v>0</v>
      </c>
      <c r="AD642" s="34"/>
      <c r="AE642" s="33">
        <f t="shared" si="9"/>
        <v>537289</v>
      </c>
    </row>
    <row r="643" spans="1:31" ht="12.75" customHeight="1">
      <c r="A643" s="1" t="s">
        <v>689</v>
      </c>
      <c r="C643" s="1" t="s">
        <v>184</v>
      </c>
      <c r="E643" s="34">
        <v>33428</v>
      </c>
      <c r="F643" s="34"/>
      <c r="G643" s="34">
        <v>2178</v>
      </c>
      <c r="H643" s="34"/>
      <c r="I643" s="34">
        <v>13576</v>
      </c>
      <c r="J643" s="34"/>
      <c r="K643" s="34">
        <v>360</v>
      </c>
      <c r="L643" s="34"/>
      <c r="M643" s="34">
        <v>0</v>
      </c>
      <c r="N643" s="34"/>
      <c r="O643" s="34">
        <v>0</v>
      </c>
      <c r="P643" s="34"/>
      <c r="Q643" s="34">
        <v>34647</v>
      </c>
      <c r="R643" s="34"/>
      <c r="S643" s="34">
        <v>0</v>
      </c>
      <c r="T643" s="34"/>
      <c r="U643" s="34">
        <v>0</v>
      </c>
      <c r="V643" s="34"/>
      <c r="W643" s="34">
        <v>0</v>
      </c>
      <c r="X643" s="34"/>
      <c r="Y643" s="34">
        <v>110</v>
      </c>
      <c r="Z643" s="32"/>
      <c r="AA643" s="34">
        <v>0</v>
      </c>
      <c r="AB643" s="34"/>
      <c r="AC643" s="34">
        <v>0</v>
      </c>
      <c r="AD643" s="34"/>
      <c r="AE643" s="33">
        <f t="shared" si="9"/>
        <v>84299</v>
      </c>
    </row>
    <row r="644" spans="1:31" ht="12.75" customHeight="1">
      <c r="A644" s="1" t="s">
        <v>424</v>
      </c>
      <c r="C644" s="1" t="s">
        <v>192</v>
      </c>
      <c r="E644" s="34">
        <v>2037</v>
      </c>
      <c r="F644" s="34"/>
      <c r="G644" s="34">
        <v>1267</v>
      </c>
      <c r="H644" s="34"/>
      <c r="I644" s="34">
        <v>0</v>
      </c>
      <c r="J644" s="34"/>
      <c r="K644" s="34">
        <v>95</v>
      </c>
      <c r="L644" s="34"/>
      <c r="M644" s="34">
        <v>0</v>
      </c>
      <c r="N644" s="34"/>
      <c r="O644" s="34">
        <v>0</v>
      </c>
      <c r="P644" s="34"/>
      <c r="Q644" s="34">
        <v>109045</v>
      </c>
      <c r="R644" s="34"/>
      <c r="S644" s="34">
        <v>636</v>
      </c>
      <c r="T644" s="34"/>
      <c r="U644" s="34">
        <v>0</v>
      </c>
      <c r="V644" s="34"/>
      <c r="W644" s="34">
        <v>0</v>
      </c>
      <c r="X644" s="34"/>
      <c r="Y644" s="34">
        <v>7000</v>
      </c>
      <c r="Z644" s="34"/>
      <c r="AA644" s="34">
        <v>0</v>
      </c>
      <c r="AB644" s="32"/>
      <c r="AC644" s="34">
        <v>0</v>
      </c>
      <c r="AD644" s="34"/>
      <c r="AE644" s="33">
        <f t="shared" si="9"/>
        <v>120080</v>
      </c>
    </row>
    <row r="645" spans="1:31" ht="12.75" customHeight="1">
      <c r="A645" s="1" t="s">
        <v>733</v>
      </c>
      <c r="C645" s="1" t="s">
        <v>106</v>
      </c>
      <c r="E645" s="34">
        <v>70912</v>
      </c>
      <c r="F645" s="34"/>
      <c r="G645" s="34">
        <v>853</v>
      </c>
      <c r="H645" s="34"/>
      <c r="I645" s="34">
        <v>712</v>
      </c>
      <c r="J645" s="34"/>
      <c r="K645" s="34">
        <v>100</v>
      </c>
      <c r="L645" s="34"/>
      <c r="M645" s="34">
        <v>842</v>
      </c>
      <c r="N645" s="34"/>
      <c r="O645" s="34">
        <v>0</v>
      </c>
      <c r="P645" s="34"/>
      <c r="Q645" s="34">
        <v>36311</v>
      </c>
      <c r="R645" s="34"/>
      <c r="S645" s="34">
        <v>0</v>
      </c>
      <c r="T645" s="34"/>
      <c r="U645" s="34">
        <v>0</v>
      </c>
      <c r="V645" s="34"/>
      <c r="W645" s="34">
        <v>0</v>
      </c>
      <c r="X645" s="34"/>
      <c r="Y645" s="34">
        <v>7319</v>
      </c>
      <c r="Z645" s="32"/>
      <c r="AA645" s="34">
        <v>0</v>
      </c>
      <c r="AB645" s="34"/>
      <c r="AC645" s="34">
        <v>3</v>
      </c>
      <c r="AD645" s="34"/>
      <c r="AE645" s="33">
        <f t="shared" si="9"/>
        <v>117052</v>
      </c>
    </row>
    <row r="646" spans="1:31" ht="12.75" customHeight="1">
      <c r="A646" s="1" t="s">
        <v>425</v>
      </c>
      <c r="C646" s="1" t="s">
        <v>80</v>
      </c>
      <c r="E646" s="34">
        <v>3802</v>
      </c>
      <c r="F646" s="34"/>
      <c r="G646" s="34">
        <v>0</v>
      </c>
      <c r="H646" s="34"/>
      <c r="I646" s="34">
        <v>0</v>
      </c>
      <c r="J646" s="34"/>
      <c r="K646" s="34">
        <v>0</v>
      </c>
      <c r="L646" s="34"/>
      <c r="M646" s="34">
        <v>0</v>
      </c>
      <c r="N646" s="34"/>
      <c r="O646" s="34">
        <v>0</v>
      </c>
      <c r="P646" s="34"/>
      <c r="Q646" s="34">
        <v>10593</v>
      </c>
      <c r="R646" s="34"/>
      <c r="S646" s="34">
        <v>0</v>
      </c>
      <c r="T646" s="34"/>
      <c r="U646" s="34">
        <v>0</v>
      </c>
      <c r="V646" s="34"/>
      <c r="W646" s="34">
        <v>0</v>
      </c>
      <c r="X646" s="34"/>
      <c r="Y646" s="34">
        <v>0</v>
      </c>
      <c r="Z646" s="34"/>
      <c r="AA646" s="34">
        <v>0</v>
      </c>
      <c r="AB646" s="32"/>
      <c r="AC646" s="34">
        <v>11265</v>
      </c>
      <c r="AD646" s="34"/>
      <c r="AE646" s="33">
        <f t="shared" si="9"/>
        <v>25660</v>
      </c>
    </row>
    <row r="647" spans="1:31" ht="12.75" customHeight="1">
      <c r="A647" s="1" t="s">
        <v>445</v>
      </c>
      <c r="C647" s="1" t="s">
        <v>346</v>
      </c>
      <c r="E647" s="34">
        <v>85275</v>
      </c>
      <c r="F647" s="34"/>
      <c r="G647" s="34">
        <v>2610</v>
      </c>
      <c r="H647" s="34"/>
      <c r="I647" s="34">
        <v>0</v>
      </c>
      <c r="J647" s="34"/>
      <c r="K647" s="34">
        <v>0</v>
      </c>
      <c r="L647" s="34"/>
      <c r="M647" s="34">
        <v>0</v>
      </c>
      <c r="N647" s="34"/>
      <c r="O647" s="34">
        <v>0</v>
      </c>
      <c r="P647" s="34"/>
      <c r="Q647" s="34">
        <v>76784</v>
      </c>
      <c r="R647" s="34"/>
      <c r="S647" s="34">
        <v>7736</v>
      </c>
      <c r="T647" s="34"/>
      <c r="U647" s="34">
        <v>0</v>
      </c>
      <c r="V647" s="34"/>
      <c r="W647" s="34">
        <v>0</v>
      </c>
      <c r="X647" s="34"/>
      <c r="Y647" s="34">
        <v>0</v>
      </c>
      <c r="Z647" s="32"/>
      <c r="AA647" s="34">
        <v>0</v>
      </c>
      <c r="AB647" s="34"/>
      <c r="AC647" s="34">
        <v>0</v>
      </c>
      <c r="AD647" s="34"/>
      <c r="AE647" s="33">
        <f t="shared" si="9"/>
        <v>172405</v>
      </c>
    </row>
    <row r="648" spans="1:31" ht="12.75" customHeight="1">
      <c r="A648" s="1" t="s">
        <v>694</v>
      </c>
      <c r="C648" s="1" t="s">
        <v>137</v>
      </c>
      <c r="E648" s="34">
        <v>492705</v>
      </c>
      <c r="F648" s="34"/>
      <c r="G648" s="34">
        <v>0</v>
      </c>
      <c r="H648" s="34"/>
      <c r="I648" s="34">
        <v>10574</v>
      </c>
      <c r="J648" s="34"/>
      <c r="K648" s="34">
        <v>290</v>
      </c>
      <c r="L648" s="34"/>
      <c r="M648" s="34">
        <v>18857</v>
      </c>
      <c r="N648" s="34"/>
      <c r="O648" s="34">
        <v>15808</v>
      </c>
      <c r="P648" s="34"/>
      <c r="Q648" s="34">
        <v>122037</v>
      </c>
      <c r="R648" s="34"/>
      <c r="S648" s="34">
        <v>700</v>
      </c>
      <c r="T648" s="34"/>
      <c r="U648" s="34">
        <v>66667</v>
      </c>
      <c r="V648" s="34"/>
      <c r="W648" s="34">
        <v>7079</v>
      </c>
      <c r="X648" s="34"/>
      <c r="Y648" s="34">
        <v>0</v>
      </c>
      <c r="Z648" s="32"/>
      <c r="AA648" s="34">
        <v>2973</v>
      </c>
      <c r="AB648" s="34"/>
      <c r="AC648" s="34">
        <v>0</v>
      </c>
      <c r="AD648" s="34"/>
      <c r="AE648" s="33">
        <f t="shared" si="9"/>
        <v>737690</v>
      </c>
    </row>
    <row r="649" spans="1:31" ht="12.75" customHeight="1">
      <c r="A649" s="1" t="s">
        <v>603</v>
      </c>
      <c r="C649" s="1" t="s">
        <v>69</v>
      </c>
      <c r="E649" s="34">
        <v>475981</v>
      </c>
      <c r="F649" s="34"/>
      <c r="G649" s="34">
        <v>9995</v>
      </c>
      <c r="H649" s="34"/>
      <c r="I649" s="34">
        <v>24810</v>
      </c>
      <c r="J649" s="34"/>
      <c r="K649" s="34">
        <v>3293</v>
      </c>
      <c r="L649" s="34"/>
      <c r="M649" s="34">
        <v>0</v>
      </c>
      <c r="N649" s="34"/>
      <c r="O649" s="34">
        <v>465225</v>
      </c>
      <c r="P649" s="34"/>
      <c r="Q649" s="34">
        <v>265110</v>
      </c>
      <c r="R649" s="34"/>
      <c r="S649" s="34">
        <v>0</v>
      </c>
      <c r="T649" s="34"/>
      <c r="U649" s="34">
        <v>0</v>
      </c>
      <c r="V649" s="34"/>
      <c r="W649" s="34">
        <v>0</v>
      </c>
      <c r="X649" s="34"/>
      <c r="Y649" s="34">
        <v>113460</v>
      </c>
      <c r="Z649" s="32"/>
      <c r="AA649" s="34">
        <v>0</v>
      </c>
      <c r="AB649" s="34"/>
      <c r="AC649" s="34">
        <v>0</v>
      </c>
      <c r="AD649" s="34"/>
      <c r="AE649" s="33">
        <f t="shared" si="9"/>
        <v>1357874</v>
      </c>
    </row>
    <row r="650" spans="1:31" ht="12.75" customHeight="1">
      <c r="A650" s="1" t="s">
        <v>426</v>
      </c>
      <c r="C650" s="1" t="s">
        <v>73</v>
      </c>
      <c r="E650" s="34">
        <v>2320010</v>
      </c>
      <c r="F650" s="34"/>
      <c r="G650" s="34">
        <v>6611</v>
      </c>
      <c r="H650" s="34"/>
      <c r="I650" s="34">
        <v>151785</v>
      </c>
      <c r="J650" s="34"/>
      <c r="K650" s="34">
        <v>49605</v>
      </c>
      <c r="L650" s="34"/>
      <c r="M650" s="34">
        <v>524268</v>
      </c>
      <c r="N650" s="34"/>
      <c r="O650" s="34">
        <v>0</v>
      </c>
      <c r="P650" s="34"/>
      <c r="Q650" s="34">
        <v>1151505</v>
      </c>
      <c r="R650" s="34"/>
      <c r="S650" s="34">
        <v>0</v>
      </c>
      <c r="T650" s="34"/>
      <c r="U650" s="34">
        <v>0</v>
      </c>
      <c r="V650" s="34"/>
      <c r="W650" s="34">
        <v>0</v>
      </c>
      <c r="X650" s="34"/>
      <c r="Y650" s="34">
        <v>777819</v>
      </c>
      <c r="Z650" s="34"/>
      <c r="AA650" s="34">
        <v>0</v>
      </c>
      <c r="AB650" s="32"/>
      <c r="AC650" s="34">
        <v>2705</v>
      </c>
      <c r="AD650" s="34"/>
      <c r="AE650" s="33">
        <f t="shared" si="9"/>
        <v>4984308</v>
      </c>
    </row>
    <row r="651" spans="1:31" ht="12.75" customHeight="1">
      <c r="A651" s="1" t="s">
        <v>427</v>
      </c>
      <c r="C651" s="1" t="s">
        <v>112</v>
      </c>
      <c r="E651" s="34">
        <v>1213169</v>
      </c>
      <c r="F651" s="34"/>
      <c r="G651" s="34">
        <v>2858</v>
      </c>
      <c r="H651" s="34"/>
      <c r="I651" s="34">
        <v>0</v>
      </c>
      <c r="J651" s="34"/>
      <c r="K651" s="34">
        <v>0</v>
      </c>
      <c r="L651" s="34"/>
      <c r="M651" s="34">
        <v>58932</v>
      </c>
      <c r="N651" s="34"/>
      <c r="O651" s="34">
        <v>80917</v>
      </c>
      <c r="P651" s="34"/>
      <c r="Q651" s="34">
        <v>761515</v>
      </c>
      <c r="R651" s="34"/>
      <c r="S651" s="34">
        <v>27619</v>
      </c>
      <c r="T651" s="34"/>
      <c r="U651" s="34">
        <v>0</v>
      </c>
      <c r="V651" s="34"/>
      <c r="W651" s="34">
        <v>0</v>
      </c>
      <c r="X651" s="34"/>
      <c r="Y651" s="34">
        <v>47000</v>
      </c>
      <c r="Z651" s="34"/>
      <c r="AA651" s="34">
        <v>18900</v>
      </c>
      <c r="AB651" s="32"/>
      <c r="AC651" s="34">
        <v>3000</v>
      </c>
      <c r="AD651" s="34"/>
      <c r="AE651" s="33">
        <f t="shared" si="9"/>
        <v>2213910</v>
      </c>
    </row>
    <row r="652" spans="1:31" ht="12.75" customHeight="1">
      <c r="A652" s="1" t="s">
        <v>661</v>
      </c>
      <c r="C652" s="1" t="s">
        <v>80</v>
      </c>
      <c r="E652" s="34">
        <v>309982</v>
      </c>
      <c r="F652" s="34"/>
      <c r="G652" s="34">
        <v>12152</v>
      </c>
      <c r="H652" s="34"/>
      <c r="I652" s="34">
        <v>0</v>
      </c>
      <c r="J652" s="34"/>
      <c r="K652" s="34">
        <v>0</v>
      </c>
      <c r="L652" s="34"/>
      <c r="M652" s="34">
        <v>0</v>
      </c>
      <c r="N652" s="34"/>
      <c r="O652" s="34">
        <v>0</v>
      </c>
      <c r="P652" s="34"/>
      <c r="Q652" s="34">
        <v>150925</v>
      </c>
      <c r="R652" s="34"/>
      <c r="S652" s="34">
        <v>67758</v>
      </c>
      <c r="T652" s="34"/>
      <c r="U652" s="34">
        <v>354</v>
      </c>
      <c r="V652" s="34"/>
      <c r="W652" s="34">
        <v>11587</v>
      </c>
      <c r="X652" s="34"/>
      <c r="Y652" s="34">
        <v>3240</v>
      </c>
      <c r="Z652" s="32"/>
      <c r="AA652" s="34">
        <v>0</v>
      </c>
      <c r="AB652" s="34"/>
      <c r="AC652" s="34">
        <v>0</v>
      </c>
      <c r="AD652" s="34"/>
      <c r="AE652" s="33">
        <f t="shared" si="9"/>
        <v>555998</v>
      </c>
    </row>
    <row r="653" spans="1:31" ht="12.75" customHeight="1">
      <c r="A653" s="1" t="s">
        <v>428</v>
      </c>
      <c r="C653" s="1" t="s">
        <v>312</v>
      </c>
      <c r="E653" s="34">
        <v>4200</v>
      </c>
      <c r="F653" s="34"/>
      <c r="G653" s="34">
        <v>583</v>
      </c>
      <c r="H653" s="34"/>
      <c r="I653" s="34">
        <v>0</v>
      </c>
      <c r="J653" s="34"/>
      <c r="K653" s="34">
        <v>60</v>
      </c>
      <c r="L653" s="34"/>
      <c r="M653" s="34">
        <v>0</v>
      </c>
      <c r="N653" s="34"/>
      <c r="O653" s="34">
        <v>0</v>
      </c>
      <c r="P653" s="34"/>
      <c r="Q653" s="34">
        <v>26074</v>
      </c>
      <c r="R653" s="34"/>
      <c r="S653" s="34">
        <v>0</v>
      </c>
      <c r="T653" s="34"/>
      <c r="U653" s="34">
        <v>0</v>
      </c>
      <c r="V653" s="34"/>
      <c r="W653" s="34">
        <v>0</v>
      </c>
      <c r="X653" s="34"/>
      <c r="Y653" s="34">
        <v>0</v>
      </c>
      <c r="Z653" s="34"/>
      <c r="AA653" s="34">
        <v>0</v>
      </c>
      <c r="AB653" s="32"/>
      <c r="AC653" s="34">
        <v>0</v>
      </c>
      <c r="AD653" s="34"/>
      <c r="AE653" s="33">
        <f t="shared" si="9"/>
        <v>30917</v>
      </c>
    </row>
    <row r="654" spans="1:31" ht="12.75" customHeight="1">
      <c r="A654" s="1" t="s">
        <v>429</v>
      </c>
      <c r="C654" s="1" t="s">
        <v>142</v>
      </c>
      <c r="E654" s="34">
        <v>281614</v>
      </c>
      <c r="F654" s="34"/>
      <c r="G654" s="34">
        <v>1141</v>
      </c>
      <c r="H654" s="34"/>
      <c r="I654" s="34">
        <v>36911</v>
      </c>
      <c r="J654" s="34"/>
      <c r="K654" s="34">
        <v>7759</v>
      </c>
      <c r="L654" s="34"/>
      <c r="M654" s="34">
        <v>0</v>
      </c>
      <c r="N654" s="34"/>
      <c r="O654" s="34">
        <v>101028</v>
      </c>
      <c r="P654" s="34"/>
      <c r="Q654" s="34">
        <v>92839</v>
      </c>
      <c r="R654" s="34"/>
      <c r="S654" s="34">
        <v>0</v>
      </c>
      <c r="T654" s="34"/>
      <c r="U654" s="34">
        <v>0</v>
      </c>
      <c r="V654" s="34"/>
      <c r="W654" s="34">
        <v>0</v>
      </c>
      <c r="X654" s="34"/>
      <c r="Y654" s="34">
        <v>70455</v>
      </c>
      <c r="Z654" s="34"/>
      <c r="AA654" s="34">
        <v>0</v>
      </c>
      <c r="AB654" s="32"/>
      <c r="AC654" s="34">
        <v>0</v>
      </c>
      <c r="AD654" s="34"/>
      <c r="AE654" s="33">
        <f t="shared" si="9"/>
        <v>591747</v>
      </c>
    </row>
    <row r="655" spans="1:31" ht="12.75" customHeight="1">
      <c r="A655" s="1" t="s">
        <v>751</v>
      </c>
      <c r="C655" s="1" t="s">
        <v>192</v>
      </c>
      <c r="E655" s="34">
        <v>0</v>
      </c>
      <c r="F655" s="34"/>
      <c r="G655" s="34">
        <v>0</v>
      </c>
      <c r="H655" s="34"/>
      <c r="I655" s="34">
        <v>0</v>
      </c>
      <c r="J655" s="34"/>
      <c r="K655" s="34">
        <v>0</v>
      </c>
      <c r="L655" s="34"/>
      <c r="M655" s="34">
        <v>0</v>
      </c>
      <c r="N655" s="34"/>
      <c r="O655" s="34">
        <v>0</v>
      </c>
      <c r="P655" s="34"/>
      <c r="Q655" s="34">
        <v>45094</v>
      </c>
      <c r="R655" s="34"/>
      <c r="S655" s="34">
        <v>0</v>
      </c>
      <c r="T655" s="34"/>
      <c r="U655" s="34">
        <v>1346</v>
      </c>
      <c r="V655" s="34"/>
      <c r="W655" s="34">
        <v>53</v>
      </c>
      <c r="X655" s="34"/>
      <c r="Y655" s="34">
        <v>0</v>
      </c>
      <c r="Z655" s="32"/>
      <c r="AA655" s="34">
        <v>0</v>
      </c>
      <c r="AB655" s="34"/>
      <c r="AC655" s="34">
        <v>0</v>
      </c>
      <c r="AD655" s="34"/>
      <c r="AE655" s="33">
        <f t="shared" si="9"/>
        <v>46493</v>
      </c>
    </row>
    <row r="656" spans="1:31" ht="12.75" customHeight="1">
      <c r="A656" s="1" t="s">
        <v>737</v>
      </c>
      <c r="C656" s="1" t="s">
        <v>276</v>
      </c>
      <c r="E656" s="34">
        <v>1527</v>
      </c>
      <c r="F656" s="34"/>
      <c r="G656" s="34">
        <v>0</v>
      </c>
      <c r="H656" s="34"/>
      <c r="I656" s="34">
        <v>0</v>
      </c>
      <c r="J656" s="34"/>
      <c r="K656" s="34">
        <v>0</v>
      </c>
      <c r="L656" s="34"/>
      <c r="M656" s="34">
        <v>0</v>
      </c>
      <c r="N656" s="34"/>
      <c r="O656" s="34">
        <v>992</v>
      </c>
      <c r="P656" s="34"/>
      <c r="Q656" s="34">
        <v>3445</v>
      </c>
      <c r="R656" s="34"/>
      <c r="S656" s="34">
        <v>0</v>
      </c>
      <c r="T656" s="34"/>
      <c r="U656" s="34">
        <v>0</v>
      </c>
      <c r="V656" s="34"/>
      <c r="W656" s="34">
        <v>0</v>
      </c>
      <c r="X656" s="34"/>
      <c r="Y656" s="34">
        <v>0</v>
      </c>
      <c r="Z656" s="32"/>
      <c r="AA656" s="34">
        <v>0</v>
      </c>
      <c r="AB656" s="34"/>
      <c r="AC656" s="34">
        <v>0</v>
      </c>
      <c r="AD656" s="34"/>
      <c r="AE656" s="33">
        <f t="shared" si="9"/>
        <v>5964</v>
      </c>
    </row>
    <row r="657" spans="1:31" ht="12.75" customHeight="1">
      <c r="A657" s="1" t="s">
        <v>430</v>
      </c>
      <c r="C657" s="1" t="s">
        <v>157</v>
      </c>
      <c r="E657" s="34">
        <v>989942</v>
      </c>
      <c r="F657" s="34"/>
      <c r="G657" s="34">
        <v>10123</v>
      </c>
      <c r="H657" s="34"/>
      <c r="I657" s="34">
        <v>0</v>
      </c>
      <c r="J657" s="34"/>
      <c r="K657" s="34">
        <v>21</v>
      </c>
      <c r="L657" s="34"/>
      <c r="M657" s="34">
        <v>0</v>
      </c>
      <c r="N657" s="34"/>
      <c r="O657" s="34">
        <v>0</v>
      </c>
      <c r="P657" s="34"/>
      <c r="Q657" s="34">
        <v>547651</v>
      </c>
      <c r="R657" s="34"/>
      <c r="S657" s="34">
        <v>0</v>
      </c>
      <c r="T657" s="34"/>
      <c r="U657" s="34">
        <v>0</v>
      </c>
      <c r="V657" s="34"/>
      <c r="W657" s="34">
        <v>0</v>
      </c>
      <c r="X657" s="34"/>
      <c r="Y657" s="34">
        <v>1030567</v>
      </c>
      <c r="Z657" s="34"/>
      <c r="AA657" s="34">
        <v>0</v>
      </c>
      <c r="AB657" s="32"/>
      <c r="AC657" s="34">
        <v>0</v>
      </c>
      <c r="AD657" s="34"/>
      <c r="AE657" s="33">
        <f t="shared" si="9"/>
        <v>2578304</v>
      </c>
    </row>
    <row r="658" spans="1:31" ht="12.75" customHeight="1">
      <c r="A658" s="1" t="s">
        <v>431</v>
      </c>
      <c r="C658" s="1" t="s">
        <v>78</v>
      </c>
      <c r="E658" s="34">
        <v>2352</v>
      </c>
      <c r="F658" s="34"/>
      <c r="G658" s="34">
        <v>0</v>
      </c>
      <c r="H658" s="34"/>
      <c r="I658" s="34">
        <v>0</v>
      </c>
      <c r="J658" s="34"/>
      <c r="K658" s="34">
        <v>0</v>
      </c>
      <c r="L658" s="34"/>
      <c r="M658" s="34">
        <v>5023</v>
      </c>
      <c r="N658" s="34"/>
      <c r="O658" s="34">
        <v>0</v>
      </c>
      <c r="P658" s="34"/>
      <c r="Q658" s="34">
        <v>14548</v>
      </c>
      <c r="R658" s="34"/>
      <c r="S658" s="34">
        <v>0</v>
      </c>
      <c r="T658" s="34"/>
      <c r="U658" s="34">
        <v>0</v>
      </c>
      <c r="V658" s="34"/>
      <c r="W658" s="34">
        <v>0</v>
      </c>
      <c r="X658" s="34"/>
      <c r="Y658" s="34">
        <v>0</v>
      </c>
      <c r="Z658" s="34"/>
      <c r="AA658" s="34">
        <v>0</v>
      </c>
      <c r="AB658" s="32"/>
      <c r="AC658" s="34">
        <v>0</v>
      </c>
      <c r="AD658" s="34"/>
      <c r="AE658" s="33">
        <f t="shared" si="9"/>
        <v>21923</v>
      </c>
    </row>
    <row r="659" spans="1:31" ht="12.75" customHeight="1">
      <c r="A659" s="1" t="s">
        <v>432</v>
      </c>
      <c r="C659" s="1" t="s">
        <v>69</v>
      </c>
      <c r="E659" s="34">
        <v>133996</v>
      </c>
      <c r="F659" s="34"/>
      <c r="G659" s="34">
        <v>0</v>
      </c>
      <c r="H659" s="34"/>
      <c r="I659" s="34">
        <v>0</v>
      </c>
      <c r="J659" s="34"/>
      <c r="K659" s="34">
        <v>620</v>
      </c>
      <c r="L659" s="34"/>
      <c r="M659" s="34">
        <v>0</v>
      </c>
      <c r="N659" s="34"/>
      <c r="O659" s="34">
        <v>15564</v>
      </c>
      <c r="P659" s="34"/>
      <c r="Q659" s="34">
        <v>105113</v>
      </c>
      <c r="R659" s="34"/>
      <c r="S659" s="34">
        <v>0</v>
      </c>
      <c r="T659" s="34"/>
      <c r="U659" s="34">
        <v>0</v>
      </c>
      <c r="V659" s="34"/>
      <c r="W659" s="34">
        <v>0</v>
      </c>
      <c r="X659" s="34"/>
      <c r="Y659" s="34">
        <v>0</v>
      </c>
      <c r="Z659" s="34"/>
      <c r="AA659" s="34">
        <v>0</v>
      </c>
      <c r="AB659" s="32"/>
      <c r="AC659" s="34">
        <v>44200</v>
      </c>
      <c r="AD659" s="34"/>
      <c r="AE659" s="33">
        <f t="shared" si="9"/>
        <v>299493</v>
      </c>
    </row>
    <row r="660" spans="1:31" ht="12.75" customHeight="1">
      <c r="A660" s="1" t="s">
        <v>433</v>
      </c>
      <c r="C660" s="1" t="s">
        <v>236</v>
      </c>
      <c r="E660" s="34">
        <v>0</v>
      </c>
      <c r="F660" s="34"/>
      <c r="G660" s="34">
        <v>0</v>
      </c>
      <c r="H660" s="34"/>
      <c r="I660" s="34">
        <v>0</v>
      </c>
      <c r="J660" s="34"/>
      <c r="K660" s="34">
        <v>0</v>
      </c>
      <c r="L660" s="34"/>
      <c r="M660" s="34">
        <v>2471</v>
      </c>
      <c r="N660" s="34"/>
      <c r="O660" s="34">
        <v>0</v>
      </c>
      <c r="P660" s="34"/>
      <c r="Q660" s="34">
        <v>16043</v>
      </c>
      <c r="R660" s="34"/>
      <c r="S660" s="34">
        <v>0</v>
      </c>
      <c r="T660" s="34"/>
      <c r="U660" s="34">
        <v>0</v>
      </c>
      <c r="V660" s="34"/>
      <c r="W660" s="34">
        <v>0</v>
      </c>
      <c r="X660" s="34"/>
      <c r="Y660" s="34">
        <v>0</v>
      </c>
      <c r="Z660" s="34"/>
      <c r="AA660" s="34">
        <v>0</v>
      </c>
      <c r="AB660" s="32"/>
      <c r="AC660" s="34">
        <v>0</v>
      </c>
      <c r="AD660" s="34"/>
      <c r="AE660" s="33">
        <f t="shared" si="9"/>
        <v>18514</v>
      </c>
    </row>
    <row r="661" spans="1:31" ht="12.75" customHeight="1">
      <c r="A661" s="1" t="s">
        <v>434</v>
      </c>
      <c r="C661" s="1" t="s">
        <v>369</v>
      </c>
      <c r="E661" s="34">
        <v>0</v>
      </c>
      <c r="F661" s="34"/>
      <c r="G661" s="34">
        <v>0</v>
      </c>
      <c r="H661" s="34"/>
      <c r="I661" s="34">
        <v>3645</v>
      </c>
      <c r="J661" s="34"/>
      <c r="K661" s="34">
        <v>1475</v>
      </c>
      <c r="L661" s="34"/>
      <c r="M661" s="34">
        <v>1874</v>
      </c>
      <c r="N661" s="34"/>
      <c r="O661" s="34">
        <v>0</v>
      </c>
      <c r="P661" s="34"/>
      <c r="Q661" s="34">
        <v>23115</v>
      </c>
      <c r="R661" s="34"/>
      <c r="S661" s="34">
        <v>0</v>
      </c>
      <c r="T661" s="34"/>
      <c r="U661" s="34">
        <v>0</v>
      </c>
      <c r="V661" s="34"/>
      <c r="W661" s="34">
        <v>0</v>
      </c>
      <c r="X661" s="34"/>
      <c r="Y661" s="34">
        <v>0</v>
      </c>
      <c r="Z661" s="34"/>
      <c r="AA661" s="34">
        <v>0</v>
      </c>
      <c r="AB661" s="32"/>
      <c r="AC661" s="34">
        <v>0</v>
      </c>
      <c r="AD661" s="34"/>
      <c r="AE661" s="33">
        <f t="shared" si="9"/>
        <v>30109</v>
      </c>
    </row>
    <row r="662" spans="1:31" ht="12.75" customHeight="1">
      <c r="A662" s="1" t="s">
        <v>742</v>
      </c>
      <c r="C662" s="1" t="s">
        <v>96</v>
      </c>
      <c r="E662" s="34">
        <v>9338</v>
      </c>
      <c r="F662" s="34"/>
      <c r="G662" s="34">
        <v>450</v>
      </c>
      <c r="H662" s="34"/>
      <c r="I662" s="34">
        <v>0</v>
      </c>
      <c r="J662" s="34"/>
      <c r="K662" s="34">
        <v>23</v>
      </c>
      <c r="L662" s="34"/>
      <c r="M662" s="34">
        <v>0</v>
      </c>
      <c r="N662" s="34"/>
      <c r="O662" s="34">
        <v>3847</v>
      </c>
      <c r="P662" s="34"/>
      <c r="Q662" s="34">
        <v>12692</v>
      </c>
      <c r="R662" s="34"/>
      <c r="S662" s="34">
        <v>0</v>
      </c>
      <c r="T662" s="34"/>
      <c r="U662" s="34">
        <v>2884</v>
      </c>
      <c r="V662" s="34"/>
      <c r="W662" s="34">
        <v>615</v>
      </c>
      <c r="X662" s="34"/>
      <c r="Y662" s="34">
        <v>0</v>
      </c>
      <c r="Z662" s="32"/>
      <c r="AA662" s="34">
        <v>0</v>
      </c>
      <c r="AB662" s="34"/>
      <c r="AC662" s="34">
        <v>0</v>
      </c>
      <c r="AD662" s="34"/>
      <c r="AE662" s="33">
        <f t="shared" si="9"/>
        <v>29849</v>
      </c>
    </row>
  </sheetData>
  <printOptions horizontalCentered="1"/>
  <pageMargins left="0.75" right="0.75" top="0.5" bottom="0.75" header="0" footer="0.25"/>
  <pageSetup firstPageNumber="26" useFirstPageNumber="1" fitToHeight="12" fitToWidth="2" horizontalDpi="1200" verticalDpi="1200" orientation="portrait" pageOrder="overThenDown" scale="80" r:id="rId1"/>
  <headerFooter alignWithMargins="0">
    <oddFooter>&amp;C&amp;"Times New Roman,Regular"&amp;11&amp;P</oddFooter>
  </headerFooter>
  <rowBreaks count="1" manualBreakCount="1">
    <brk id="70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64"/>
  <sheetViews>
    <sheetView workbookViewId="0" topLeftCell="A6">
      <selection activeCell="A50" sqref="A50:A54"/>
    </sheetView>
  </sheetViews>
  <sheetFormatPr defaultColWidth="9.140625" defaultRowHeight="12.75" customHeight="1"/>
  <cols>
    <col min="1" max="1" width="15.7109375" style="1" customWidth="1"/>
    <col min="2" max="2" width="1.7109375" style="0" customWidth="1"/>
    <col min="3" max="3" width="11.7109375" style="1" customWidth="1"/>
    <col min="4" max="4" width="1.7109375" style="1" customWidth="1"/>
    <col min="5" max="5" width="10.7109375" style="2" customWidth="1"/>
    <col min="6" max="6" width="1.7109375" style="2" customWidth="1"/>
    <col min="7" max="7" width="10.7109375" style="2" customWidth="1"/>
    <col min="8" max="8" width="1.7109375" style="2" customWidth="1"/>
    <col min="9" max="9" width="10.7109375" style="2" customWidth="1"/>
    <col min="10" max="10" width="1.7109375" style="2" customWidth="1"/>
    <col min="11" max="11" width="10.7109375" style="2" customWidth="1"/>
    <col min="12" max="12" width="1.7109375" style="2" customWidth="1"/>
    <col min="13" max="13" width="10.7109375" style="2" customWidth="1"/>
    <col min="14" max="14" width="1.7109375" style="2" customWidth="1"/>
    <col min="15" max="15" width="10.7109375" style="2" customWidth="1"/>
    <col min="16" max="16" width="1.7109375" style="2" customWidth="1"/>
    <col min="17" max="17" width="10.7109375" style="2" customWidth="1"/>
    <col min="18" max="18" width="1.7109375" style="2" customWidth="1"/>
    <col min="19" max="19" width="10.7109375" style="2" customWidth="1"/>
    <col min="20" max="20" width="1.7109375" style="2" customWidth="1"/>
    <col min="21" max="21" width="10.7109375" style="8" customWidth="1"/>
    <col min="22" max="22" width="1.8515625" style="2" customWidth="1"/>
    <col min="23" max="23" width="10.7109375" style="2" customWidth="1"/>
    <col min="24" max="24" width="1.7109375" style="2" customWidth="1"/>
    <col min="25" max="25" width="10.7109375" style="2" customWidth="1"/>
    <col min="26" max="26" width="1.7109375" style="2" customWidth="1"/>
    <col min="27" max="27" width="10.7109375" style="2" customWidth="1"/>
    <col min="28" max="28" width="1.7109375" style="2" customWidth="1"/>
    <col min="29" max="29" width="10.7109375" style="2" customWidth="1"/>
    <col min="30" max="30" width="1.7109375" style="2" customWidth="1"/>
    <col min="31" max="31" width="10.7109375" style="2" customWidth="1"/>
    <col min="32" max="32" width="1.7109375" style="1" customWidth="1"/>
    <col min="33" max="33" width="9.140625" style="1" customWidth="1"/>
    <col min="34" max="34" width="1.7109375" style="1" customWidth="1"/>
    <col min="35" max="35" width="9.140625" style="1" customWidth="1"/>
    <col min="36" max="36" width="1.7109375" style="1" customWidth="1"/>
    <col min="37" max="16384" width="9.140625" style="1" customWidth="1"/>
  </cols>
  <sheetData>
    <row r="1" ht="12.75" customHeight="1">
      <c r="A1" s="6" t="s">
        <v>59</v>
      </c>
    </row>
    <row r="2" ht="12.75" customHeight="1">
      <c r="A2" s="6" t="s">
        <v>60</v>
      </c>
    </row>
    <row r="4" ht="12.75" customHeight="1">
      <c r="A4" s="7" t="s">
        <v>785</v>
      </c>
    </row>
    <row r="5" spans="1:31" ht="12.75" customHeight="1">
      <c r="A5" s="6"/>
      <c r="C5" s="5"/>
      <c r="D5" s="5"/>
      <c r="E5" s="8" t="s">
        <v>58</v>
      </c>
      <c r="F5" s="8"/>
      <c r="O5" s="8" t="s">
        <v>41</v>
      </c>
      <c r="U5" s="2"/>
      <c r="AC5" s="8" t="s">
        <v>54</v>
      </c>
      <c r="AE5" s="8"/>
    </row>
    <row r="6" spans="1:31" ht="12.75" customHeight="1">
      <c r="A6" s="5"/>
      <c r="C6" s="5"/>
      <c r="D6" s="5"/>
      <c r="E6" s="8" t="s">
        <v>34</v>
      </c>
      <c r="F6" s="8"/>
      <c r="G6" s="8" t="s">
        <v>36</v>
      </c>
      <c r="H6" s="8"/>
      <c r="I6" s="8" t="s">
        <v>38</v>
      </c>
      <c r="K6" s="8" t="s">
        <v>46</v>
      </c>
      <c r="M6" s="8" t="s">
        <v>39</v>
      </c>
      <c r="O6" s="8" t="s">
        <v>40</v>
      </c>
      <c r="Q6" s="8" t="s">
        <v>42</v>
      </c>
      <c r="U6" s="8" t="s">
        <v>56</v>
      </c>
      <c r="W6" s="8" t="s">
        <v>43</v>
      </c>
      <c r="AC6" s="8" t="s">
        <v>44</v>
      </c>
      <c r="AE6" s="8" t="s">
        <v>50</v>
      </c>
    </row>
    <row r="7" spans="1:31" ht="12.75" customHeight="1">
      <c r="A7" s="4" t="s">
        <v>9</v>
      </c>
      <c r="B7" s="29"/>
      <c r="C7" s="4" t="s">
        <v>8</v>
      </c>
      <c r="D7" s="9"/>
      <c r="E7" s="3" t="s">
        <v>33</v>
      </c>
      <c r="F7" s="10"/>
      <c r="G7" s="3" t="s">
        <v>35</v>
      </c>
      <c r="H7" s="10"/>
      <c r="I7" s="14" t="s">
        <v>37</v>
      </c>
      <c r="J7" s="15"/>
      <c r="K7" s="14" t="s">
        <v>47</v>
      </c>
      <c r="L7" s="15"/>
      <c r="M7" s="14" t="s">
        <v>19</v>
      </c>
      <c r="N7" s="15"/>
      <c r="O7" s="14" t="s">
        <v>48</v>
      </c>
      <c r="P7" s="15"/>
      <c r="Q7" s="14" t="s">
        <v>49</v>
      </c>
      <c r="R7" s="15"/>
      <c r="S7" s="11" t="s">
        <v>3</v>
      </c>
      <c r="T7" s="15"/>
      <c r="U7" s="3" t="s">
        <v>4</v>
      </c>
      <c r="V7" s="15"/>
      <c r="W7" s="14" t="s">
        <v>61</v>
      </c>
      <c r="X7" s="15"/>
      <c r="Y7" s="11" t="s">
        <v>5</v>
      </c>
      <c r="Z7" s="15"/>
      <c r="AA7" s="11" t="s">
        <v>53</v>
      </c>
      <c r="AB7" s="15"/>
      <c r="AC7" s="14" t="s">
        <v>45</v>
      </c>
      <c r="AD7" s="15"/>
      <c r="AE7" s="14" t="s">
        <v>51</v>
      </c>
    </row>
    <row r="8" spans="1:31" ht="12.75" customHeight="1">
      <c r="A8" s="1" t="s">
        <v>472</v>
      </c>
      <c r="B8" s="1"/>
      <c r="C8" s="1" t="s">
        <v>246</v>
      </c>
      <c r="E8" s="36">
        <v>182802</v>
      </c>
      <c r="F8" s="36"/>
      <c r="G8" s="36">
        <v>7441</v>
      </c>
      <c r="H8" s="36"/>
      <c r="I8" s="36">
        <v>82279</v>
      </c>
      <c r="J8" s="36"/>
      <c r="K8" s="36">
        <v>0</v>
      </c>
      <c r="L8" s="36"/>
      <c r="M8" s="36">
        <v>108385</v>
      </c>
      <c r="N8" s="36"/>
      <c r="O8" s="36">
        <v>44743</v>
      </c>
      <c r="P8" s="36"/>
      <c r="Q8" s="36">
        <v>2989</v>
      </c>
      <c r="R8" s="36"/>
      <c r="S8" s="36">
        <v>14241</v>
      </c>
      <c r="T8" s="36"/>
      <c r="U8" s="36">
        <v>0</v>
      </c>
      <c r="V8" s="36"/>
      <c r="W8" s="36">
        <v>0</v>
      </c>
      <c r="X8" s="36"/>
      <c r="Y8" s="36">
        <v>0</v>
      </c>
      <c r="Z8" s="36"/>
      <c r="AA8" s="36">
        <v>0</v>
      </c>
      <c r="AB8" s="36"/>
      <c r="AC8" s="36">
        <v>457</v>
      </c>
      <c r="AD8" s="36"/>
      <c r="AE8" s="36">
        <f aca="true" t="shared" si="0" ref="AE8:AE39">SUM(E8:AC8)</f>
        <v>443337</v>
      </c>
    </row>
    <row r="9" spans="1:31" ht="12.75" customHeight="1">
      <c r="A9" s="1" t="s">
        <v>64</v>
      </c>
      <c r="B9" s="1"/>
      <c r="C9" s="1" t="s">
        <v>65</v>
      </c>
      <c r="D9" s="16"/>
      <c r="E9" s="16">
        <v>57441</v>
      </c>
      <c r="F9" s="16"/>
      <c r="G9" s="16">
        <v>878746</v>
      </c>
      <c r="H9" s="16"/>
      <c r="I9" s="16">
        <v>708028</v>
      </c>
      <c r="J9" s="16"/>
      <c r="K9" s="16">
        <v>82950</v>
      </c>
      <c r="L9" s="16"/>
      <c r="M9" s="16">
        <v>70383</v>
      </c>
      <c r="N9" s="16"/>
      <c r="O9" s="16">
        <v>27422</v>
      </c>
      <c r="P9" s="16"/>
      <c r="Q9" s="16">
        <v>34013</v>
      </c>
      <c r="R9" s="16"/>
      <c r="S9" s="16">
        <v>51511</v>
      </c>
      <c r="T9" s="16"/>
      <c r="U9" s="16">
        <v>980486</v>
      </c>
      <c r="V9" s="16"/>
      <c r="W9" s="16">
        <v>0</v>
      </c>
      <c r="X9" s="16"/>
      <c r="Y9" s="16">
        <v>977707</v>
      </c>
      <c r="Z9" s="16"/>
      <c r="AA9" s="16">
        <v>0</v>
      </c>
      <c r="AB9" s="16"/>
      <c r="AC9" s="16">
        <v>734150</v>
      </c>
      <c r="AD9" s="16"/>
      <c r="AE9" s="16">
        <f t="shared" si="0"/>
        <v>4602837</v>
      </c>
    </row>
    <row r="10" spans="1:31" ht="12.75" customHeight="1">
      <c r="A10" s="1" t="s">
        <v>66</v>
      </c>
      <c r="B10" s="1"/>
      <c r="C10" s="1" t="s">
        <v>67</v>
      </c>
      <c r="D10" s="16"/>
      <c r="E10" s="16">
        <v>3051</v>
      </c>
      <c r="F10" s="16"/>
      <c r="G10" s="16">
        <v>0</v>
      </c>
      <c r="H10" s="16"/>
      <c r="I10" s="16">
        <v>11925</v>
      </c>
      <c r="J10" s="16"/>
      <c r="K10" s="16">
        <v>0</v>
      </c>
      <c r="L10" s="16"/>
      <c r="M10" s="16">
        <v>0</v>
      </c>
      <c r="N10" s="16"/>
      <c r="O10" s="16">
        <v>0</v>
      </c>
      <c r="P10" s="16"/>
      <c r="Q10" s="16">
        <v>14</v>
      </c>
      <c r="R10" s="16"/>
      <c r="S10" s="16">
        <v>1240</v>
      </c>
      <c r="T10" s="16"/>
      <c r="U10" s="16">
        <v>0</v>
      </c>
      <c r="V10" s="16"/>
      <c r="W10" s="16">
        <v>0</v>
      </c>
      <c r="X10" s="16"/>
      <c r="Y10" s="16">
        <v>0</v>
      </c>
      <c r="Z10" s="16"/>
      <c r="AA10" s="16">
        <v>0</v>
      </c>
      <c r="AB10" s="16"/>
      <c r="AC10" s="16">
        <v>0</v>
      </c>
      <c r="AD10" s="16"/>
      <c r="AE10" s="16">
        <f t="shared" si="0"/>
        <v>16230</v>
      </c>
    </row>
    <row r="11" spans="1:31" ht="12.75" customHeight="1">
      <c r="A11" s="1" t="s">
        <v>563</v>
      </c>
      <c r="C11" s="1" t="s">
        <v>73</v>
      </c>
      <c r="E11" s="16">
        <v>220404</v>
      </c>
      <c r="F11" s="16"/>
      <c r="G11" s="16">
        <v>409357</v>
      </c>
      <c r="H11" s="16"/>
      <c r="I11" s="16">
        <v>40740</v>
      </c>
      <c r="J11" s="16"/>
      <c r="K11" s="16">
        <v>25600</v>
      </c>
      <c r="L11" s="16"/>
      <c r="M11" s="16">
        <v>40071</v>
      </c>
      <c r="N11" s="16"/>
      <c r="O11" s="16">
        <v>77240</v>
      </c>
      <c r="P11" s="16"/>
      <c r="Q11" s="16">
        <v>2825</v>
      </c>
      <c r="R11" s="16"/>
      <c r="S11" s="16">
        <v>0</v>
      </c>
      <c r="T11" s="16"/>
      <c r="U11" s="16">
        <v>0</v>
      </c>
      <c r="V11" s="16"/>
      <c r="W11" s="16">
        <v>0</v>
      </c>
      <c r="X11" s="16"/>
      <c r="Y11" s="16">
        <v>0</v>
      </c>
      <c r="Z11" s="16"/>
      <c r="AA11" s="16">
        <v>0</v>
      </c>
      <c r="AB11" s="16"/>
      <c r="AC11" s="16">
        <v>0</v>
      </c>
      <c r="AD11" s="16"/>
      <c r="AE11" s="16">
        <f t="shared" si="0"/>
        <v>816237</v>
      </c>
    </row>
    <row r="12" spans="1:31" ht="12.75" customHeight="1">
      <c r="A12" s="1" t="s">
        <v>711</v>
      </c>
      <c r="C12" s="1" t="s">
        <v>712</v>
      </c>
      <c r="E12" s="16">
        <v>12495</v>
      </c>
      <c r="F12" s="16"/>
      <c r="G12" s="16">
        <v>0</v>
      </c>
      <c r="H12" s="16"/>
      <c r="I12" s="16">
        <v>52442</v>
      </c>
      <c r="J12" s="16"/>
      <c r="K12" s="16">
        <v>0</v>
      </c>
      <c r="L12" s="16"/>
      <c r="M12" s="16">
        <v>0</v>
      </c>
      <c r="N12" s="16"/>
      <c r="O12" s="16">
        <v>3216</v>
      </c>
      <c r="P12" s="16"/>
      <c r="Q12" s="16">
        <v>1448</v>
      </c>
      <c r="R12" s="16"/>
      <c r="S12" s="16">
        <v>6004</v>
      </c>
      <c r="T12" s="16"/>
      <c r="U12" s="16">
        <v>0</v>
      </c>
      <c r="V12" s="16"/>
      <c r="W12" s="16">
        <v>0</v>
      </c>
      <c r="X12" s="16"/>
      <c r="Y12" s="16">
        <v>0</v>
      </c>
      <c r="Z12" s="16"/>
      <c r="AA12" s="16">
        <v>1801</v>
      </c>
      <c r="AB12" s="16"/>
      <c r="AC12" s="16">
        <v>0</v>
      </c>
      <c r="AD12" s="16"/>
      <c r="AE12" s="16">
        <f t="shared" si="0"/>
        <v>77406</v>
      </c>
    </row>
    <row r="13" spans="1:31" ht="12.75" customHeight="1">
      <c r="A13" s="1" t="s">
        <v>68</v>
      </c>
      <c r="B13" s="1"/>
      <c r="C13" s="1" t="s">
        <v>69</v>
      </c>
      <c r="D13" s="16"/>
      <c r="E13" s="16">
        <v>75174</v>
      </c>
      <c r="F13" s="16"/>
      <c r="G13" s="16">
        <v>0</v>
      </c>
      <c r="H13" s="16"/>
      <c r="I13" s="16">
        <v>62471</v>
      </c>
      <c r="J13" s="16"/>
      <c r="K13" s="16">
        <v>40378</v>
      </c>
      <c r="L13" s="16"/>
      <c r="M13" s="16">
        <v>0</v>
      </c>
      <c r="N13" s="16"/>
      <c r="O13" s="16">
        <v>6274</v>
      </c>
      <c r="P13" s="16"/>
      <c r="Q13" s="16">
        <v>0</v>
      </c>
      <c r="R13" s="16"/>
      <c r="S13" s="16">
        <v>61544</v>
      </c>
      <c r="T13" s="16"/>
      <c r="U13" s="16">
        <v>0</v>
      </c>
      <c r="V13" s="16"/>
      <c r="W13" s="16">
        <v>0</v>
      </c>
      <c r="X13" s="16"/>
      <c r="Y13" s="16">
        <v>101838</v>
      </c>
      <c r="Z13" s="16"/>
      <c r="AA13" s="16">
        <v>0</v>
      </c>
      <c r="AB13" s="16"/>
      <c r="AC13" s="16">
        <v>20000</v>
      </c>
      <c r="AD13" s="16"/>
      <c r="AE13" s="16">
        <f t="shared" si="0"/>
        <v>367679</v>
      </c>
    </row>
    <row r="14" spans="1:31" ht="12.75" customHeight="1">
      <c r="A14" s="1" t="s">
        <v>70</v>
      </c>
      <c r="B14" s="1"/>
      <c r="C14" s="1" t="s">
        <v>71</v>
      </c>
      <c r="E14" s="16">
        <v>64612</v>
      </c>
      <c r="F14" s="16"/>
      <c r="G14" s="16">
        <v>0</v>
      </c>
      <c r="H14" s="16"/>
      <c r="I14" s="16">
        <v>65140</v>
      </c>
      <c r="J14" s="16"/>
      <c r="K14" s="16">
        <v>0</v>
      </c>
      <c r="L14" s="16"/>
      <c r="M14" s="16">
        <v>9413</v>
      </c>
      <c r="N14" s="16"/>
      <c r="O14" s="16">
        <v>3948</v>
      </c>
      <c r="P14" s="16"/>
      <c r="Q14" s="16">
        <f>2887+151</f>
        <v>3038</v>
      </c>
      <c r="R14" s="16"/>
      <c r="S14" s="16">
        <v>8735</v>
      </c>
      <c r="T14" s="16"/>
      <c r="U14" s="16">
        <v>0</v>
      </c>
      <c r="V14" s="16"/>
      <c r="W14" s="16">
        <v>0</v>
      </c>
      <c r="X14" s="16"/>
      <c r="Y14" s="16">
        <v>0</v>
      </c>
      <c r="Z14" s="16"/>
      <c r="AA14" s="16">
        <v>36096</v>
      </c>
      <c r="AB14" s="16"/>
      <c r="AC14" s="16">
        <v>0</v>
      </c>
      <c r="AD14" s="16"/>
      <c r="AE14" s="16">
        <f t="shared" si="0"/>
        <v>190982</v>
      </c>
    </row>
    <row r="15" spans="1:31" ht="12.75" customHeight="1">
      <c r="A15" s="1" t="s">
        <v>612</v>
      </c>
      <c r="C15" s="1" t="s">
        <v>231</v>
      </c>
      <c r="E15" s="16">
        <v>35644</v>
      </c>
      <c r="F15" s="16"/>
      <c r="G15" s="16">
        <v>0</v>
      </c>
      <c r="H15" s="16"/>
      <c r="I15" s="16">
        <v>57303</v>
      </c>
      <c r="J15" s="16"/>
      <c r="K15" s="16">
        <v>636</v>
      </c>
      <c r="L15" s="16"/>
      <c r="M15" s="16">
        <v>0</v>
      </c>
      <c r="N15" s="16"/>
      <c r="O15" s="16">
        <v>66319</v>
      </c>
      <c r="P15" s="16"/>
      <c r="Q15" s="16">
        <v>1167</v>
      </c>
      <c r="R15" s="16"/>
      <c r="S15" s="16">
        <v>2769</v>
      </c>
      <c r="T15" s="16"/>
      <c r="U15" s="16">
        <v>0</v>
      </c>
      <c r="V15" s="16"/>
      <c r="W15" s="16">
        <v>0</v>
      </c>
      <c r="X15" s="16"/>
      <c r="Y15" s="16">
        <v>10000</v>
      </c>
      <c r="Z15" s="16"/>
      <c r="AA15" s="16">
        <v>0</v>
      </c>
      <c r="AB15" s="16"/>
      <c r="AC15" s="16">
        <v>96686</v>
      </c>
      <c r="AD15" s="16"/>
      <c r="AE15" s="16">
        <f t="shared" si="0"/>
        <v>270524</v>
      </c>
    </row>
    <row r="16" spans="1:31" ht="12.75" customHeight="1">
      <c r="A16" s="1" t="s">
        <v>764</v>
      </c>
      <c r="C16" s="1" t="s">
        <v>190</v>
      </c>
      <c r="E16" s="16">
        <v>7205</v>
      </c>
      <c r="F16" s="16"/>
      <c r="G16" s="16">
        <v>24721</v>
      </c>
      <c r="H16" s="16"/>
      <c r="I16" s="16">
        <v>26493</v>
      </c>
      <c r="J16" s="16"/>
      <c r="K16" s="16">
        <v>0</v>
      </c>
      <c r="L16" s="16"/>
      <c r="M16" s="16">
        <v>0</v>
      </c>
      <c r="N16" s="16"/>
      <c r="O16" s="16">
        <v>1803</v>
      </c>
      <c r="P16" s="16"/>
      <c r="Q16" s="16">
        <v>215</v>
      </c>
      <c r="R16" s="16"/>
      <c r="S16" s="16">
        <v>1293</v>
      </c>
      <c r="T16" s="16"/>
      <c r="U16" s="16">
        <v>0</v>
      </c>
      <c r="V16" s="16"/>
      <c r="W16" s="16">
        <v>0</v>
      </c>
      <c r="X16" s="16"/>
      <c r="Y16" s="16">
        <v>0</v>
      </c>
      <c r="Z16" s="16"/>
      <c r="AA16" s="16">
        <v>0</v>
      </c>
      <c r="AB16" s="16"/>
      <c r="AC16" s="16">
        <v>0</v>
      </c>
      <c r="AD16" s="16"/>
      <c r="AE16" s="16">
        <f t="shared" si="0"/>
        <v>61730</v>
      </c>
    </row>
    <row r="17" spans="1:31" ht="12.75" customHeight="1">
      <c r="A17" s="1" t="s">
        <v>530</v>
      </c>
      <c r="C17" s="1" t="s">
        <v>98</v>
      </c>
      <c r="E17" s="16">
        <v>88515</v>
      </c>
      <c r="F17" s="16"/>
      <c r="G17" s="16">
        <v>0</v>
      </c>
      <c r="H17" s="16"/>
      <c r="I17" s="16">
        <v>59049</v>
      </c>
      <c r="J17" s="16"/>
      <c r="K17" s="16">
        <v>57345</v>
      </c>
      <c r="L17" s="16"/>
      <c r="M17" s="16">
        <v>54283</v>
      </c>
      <c r="N17" s="16"/>
      <c r="O17" s="16">
        <v>119</v>
      </c>
      <c r="P17" s="16"/>
      <c r="Q17" s="16">
        <v>3533</v>
      </c>
      <c r="R17" s="16"/>
      <c r="S17" s="16">
        <v>8324</v>
      </c>
      <c r="T17" s="16"/>
      <c r="U17" s="16">
        <v>0</v>
      </c>
      <c r="V17" s="16"/>
      <c r="W17" s="16">
        <v>0</v>
      </c>
      <c r="X17" s="16"/>
      <c r="Y17" s="16">
        <v>0</v>
      </c>
      <c r="Z17" s="16"/>
      <c r="AA17" s="16">
        <v>0</v>
      </c>
      <c r="AB17" s="16"/>
      <c r="AC17" s="16">
        <v>164007</v>
      </c>
      <c r="AD17" s="16"/>
      <c r="AE17" s="16">
        <f t="shared" si="0"/>
        <v>435175</v>
      </c>
    </row>
    <row r="18" spans="1:31" ht="12.75" customHeight="1">
      <c r="A18" s="1" t="s">
        <v>72</v>
      </c>
      <c r="B18" s="1"/>
      <c r="C18" s="1" t="s">
        <v>73</v>
      </c>
      <c r="D18" s="16"/>
      <c r="E18" s="16">
        <v>1076858</v>
      </c>
      <c r="F18" s="16"/>
      <c r="G18" s="16">
        <v>0</v>
      </c>
      <c r="H18" s="16"/>
      <c r="I18" s="16">
        <v>709743</v>
      </c>
      <c r="J18" s="16"/>
      <c r="K18" s="16">
        <v>0</v>
      </c>
      <c r="L18" s="16"/>
      <c r="M18" s="16">
        <v>0</v>
      </c>
      <c r="N18" s="16"/>
      <c r="O18" s="16">
        <v>1037</v>
      </c>
      <c r="P18" s="16"/>
      <c r="Q18" s="16">
        <v>184647</v>
      </c>
      <c r="R18" s="16"/>
      <c r="S18" s="16">
        <v>190071</v>
      </c>
      <c r="T18" s="16"/>
      <c r="U18" s="16">
        <v>0</v>
      </c>
      <c r="V18" s="16"/>
      <c r="W18" s="16">
        <v>0</v>
      </c>
      <c r="X18" s="16"/>
      <c r="Y18" s="16">
        <v>2811000</v>
      </c>
      <c r="Z18" s="16"/>
      <c r="AA18" s="16">
        <v>0</v>
      </c>
      <c r="AB18" s="16"/>
      <c r="AC18" s="16">
        <v>0</v>
      </c>
      <c r="AD18" s="16"/>
      <c r="AE18" s="16">
        <f t="shared" si="0"/>
        <v>4973356</v>
      </c>
    </row>
    <row r="19" spans="1:31" ht="12.75" customHeight="1">
      <c r="A19" s="1" t="s">
        <v>492</v>
      </c>
      <c r="C19" s="1" t="s">
        <v>102</v>
      </c>
      <c r="E19" s="16">
        <v>950179</v>
      </c>
      <c r="F19" s="16"/>
      <c r="G19" s="16">
        <v>0</v>
      </c>
      <c r="H19" s="16"/>
      <c r="I19" s="16">
        <v>324125</v>
      </c>
      <c r="J19" s="16"/>
      <c r="K19" s="16">
        <v>0</v>
      </c>
      <c r="L19" s="16"/>
      <c r="M19" s="16">
        <v>11973</v>
      </c>
      <c r="N19" s="16"/>
      <c r="O19" s="16">
        <v>161244</v>
      </c>
      <c r="P19" s="16"/>
      <c r="Q19" s="16">
        <v>1262</v>
      </c>
      <c r="R19" s="16"/>
      <c r="S19" s="16">
        <v>95635</v>
      </c>
      <c r="T19" s="16"/>
      <c r="U19" s="16">
        <v>94000</v>
      </c>
      <c r="V19" s="16"/>
      <c r="W19" s="16">
        <v>0</v>
      </c>
      <c r="X19" s="16"/>
      <c r="Y19" s="16">
        <v>24997</v>
      </c>
      <c r="Z19" s="16"/>
      <c r="AA19" s="16">
        <v>20880</v>
      </c>
      <c r="AB19" s="16"/>
      <c r="AC19" s="16">
        <v>0</v>
      </c>
      <c r="AD19" s="16"/>
      <c r="AE19" s="16">
        <f t="shared" si="0"/>
        <v>1684295</v>
      </c>
    </row>
    <row r="20" spans="1:31" ht="12.75" customHeight="1">
      <c r="A20" s="1" t="s">
        <v>458</v>
      </c>
      <c r="B20" s="1"/>
      <c r="C20" s="1" t="s">
        <v>71</v>
      </c>
      <c r="E20" s="16">
        <v>20480</v>
      </c>
      <c r="F20" s="16"/>
      <c r="G20" s="16">
        <v>1389</v>
      </c>
      <c r="H20" s="16"/>
      <c r="I20" s="16">
        <v>38291</v>
      </c>
      <c r="J20" s="16"/>
      <c r="K20" s="16">
        <v>0</v>
      </c>
      <c r="L20" s="16"/>
      <c r="M20" s="16">
        <v>0</v>
      </c>
      <c r="N20" s="16"/>
      <c r="O20" s="16">
        <v>1757</v>
      </c>
      <c r="P20" s="16"/>
      <c r="Q20" s="16">
        <v>1035</v>
      </c>
      <c r="R20" s="16"/>
      <c r="S20" s="16">
        <v>3270</v>
      </c>
      <c r="T20" s="16"/>
      <c r="U20" s="16">
        <v>0</v>
      </c>
      <c r="V20" s="16"/>
      <c r="W20" s="16">
        <v>0</v>
      </c>
      <c r="X20" s="16"/>
      <c r="Y20" s="16">
        <v>1131</v>
      </c>
      <c r="Z20" s="16"/>
      <c r="AA20" s="16">
        <v>0</v>
      </c>
      <c r="AB20" s="16"/>
      <c r="AC20" s="16">
        <v>0</v>
      </c>
      <c r="AD20" s="16"/>
      <c r="AE20" s="16">
        <f t="shared" si="0"/>
        <v>67353</v>
      </c>
    </row>
    <row r="21" spans="1:31" ht="12.75" customHeight="1">
      <c r="A21" s="1" t="s">
        <v>74</v>
      </c>
      <c r="B21" s="1"/>
      <c r="C21" s="1" t="s">
        <v>69</v>
      </c>
      <c r="D21" s="16"/>
      <c r="E21" s="16">
        <v>35636</v>
      </c>
      <c r="F21" s="16"/>
      <c r="G21" s="16">
        <v>0</v>
      </c>
      <c r="H21" s="16"/>
      <c r="I21" s="16">
        <v>48963</v>
      </c>
      <c r="J21" s="16"/>
      <c r="K21" s="16">
        <v>0</v>
      </c>
      <c r="L21" s="16"/>
      <c r="M21" s="16">
        <v>0</v>
      </c>
      <c r="N21" s="16"/>
      <c r="O21" s="16">
        <v>9313</v>
      </c>
      <c r="P21" s="16"/>
      <c r="Q21" s="16">
        <v>21</v>
      </c>
      <c r="R21" s="16"/>
      <c r="S21" s="16">
        <v>5180</v>
      </c>
      <c r="T21" s="16"/>
      <c r="U21" s="16">
        <v>0</v>
      </c>
      <c r="V21" s="16"/>
      <c r="W21" s="16">
        <v>40800</v>
      </c>
      <c r="X21" s="16"/>
      <c r="Y21" s="16">
        <v>500</v>
      </c>
      <c r="Z21" s="16"/>
      <c r="AA21" s="16">
        <v>0</v>
      </c>
      <c r="AB21" s="16"/>
      <c r="AC21" s="16">
        <v>0</v>
      </c>
      <c r="AD21" s="16"/>
      <c r="AE21" s="16">
        <f t="shared" si="0"/>
        <v>140413</v>
      </c>
    </row>
    <row r="22" spans="1:31" ht="12.75" customHeight="1">
      <c r="A22" s="1" t="s">
        <v>75</v>
      </c>
      <c r="B22" s="1"/>
      <c r="C22" s="30" t="s">
        <v>76</v>
      </c>
      <c r="E22" s="16">
        <v>265758</v>
      </c>
      <c r="F22" s="16"/>
      <c r="G22" s="16">
        <v>646535</v>
      </c>
      <c r="H22" s="16"/>
      <c r="I22" s="16">
        <v>93123</v>
      </c>
      <c r="J22" s="16"/>
      <c r="K22" s="16">
        <v>0</v>
      </c>
      <c r="L22" s="16"/>
      <c r="M22" s="16">
        <v>2845</v>
      </c>
      <c r="N22" s="16"/>
      <c r="O22" s="16">
        <v>7341</v>
      </c>
      <c r="P22" s="16"/>
      <c r="Q22" s="16">
        <v>27762</v>
      </c>
      <c r="R22" s="16"/>
      <c r="S22" s="16">
        <v>750</v>
      </c>
      <c r="T22" s="16"/>
      <c r="U22" s="16">
        <v>0</v>
      </c>
      <c r="V22" s="16"/>
      <c r="W22" s="16">
        <v>0</v>
      </c>
      <c r="X22" s="16"/>
      <c r="Y22" s="16">
        <v>0</v>
      </c>
      <c r="Z22" s="16"/>
      <c r="AA22" s="16">
        <v>0</v>
      </c>
      <c r="AB22" s="16"/>
      <c r="AC22" s="16">
        <v>203451</v>
      </c>
      <c r="AD22" s="16"/>
      <c r="AE22" s="16">
        <f t="shared" si="0"/>
        <v>1247565</v>
      </c>
    </row>
    <row r="23" spans="1:31" ht="12.75" customHeight="1">
      <c r="A23" s="1" t="s">
        <v>726</v>
      </c>
      <c r="C23" s="1" t="s">
        <v>131</v>
      </c>
      <c r="E23" s="16">
        <v>58874</v>
      </c>
      <c r="F23" s="16"/>
      <c r="G23" s="16">
        <v>0</v>
      </c>
      <c r="H23" s="16"/>
      <c r="I23" s="16">
        <v>321028</v>
      </c>
      <c r="J23" s="16"/>
      <c r="K23" s="16">
        <v>50443</v>
      </c>
      <c r="L23" s="16"/>
      <c r="M23" s="16">
        <v>57817</v>
      </c>
      <c r="N23" s="16"/>
      <c r="O23" s="16">
        <v>31696</v>
      </c>
      <c r="P23" s="16"/>
      <c r="Q23" s="16">
        <v>7407</v>
      </c>
      <c r="R23" s="16"/>
      <c r="S23" s="16">
        <v>22725</v>
      </c>
      <c r="T23" s="16"/>
      <c r="U23" s="16">
        <v>0</v>
      </c>
      <c r="V23" s="16"/>
      <c r="W23" s="16">
        <v>0</v>
      </c>
      <c r="X23" s="16"/>
      <c r="Y23" s="16">
        <v>418621</v>
      </c>
      <c r="Z23" s="16"/>
      <c r="AA23" s="16">
        <v>44045</v>
      </c>
      <c r="AB23" s="16"/>
      <c r="AC23" s="16">
        <v>0</v>
      </c>
      <c r="AD23" s="16"/>
      <c r="AE23" s="16">
        <f t="shared" si="0"/>
        <v>1012656</v>
      </c>
    </row>
    <row r="24" spans="1:31" ht="12.75" customHeight="1">
      <c r="A24" s="1" t="s">
        <v>77</v>
      </c>
      <c r="B24" s="1"/>
      <c r="C24" s="1" t="s">
        <v>78</v>
      </c>
      <c r="D24" s="16"/>
      <c r="E24" s="16">
        <v>69956</v>
      </c>
      <c r="F24" s="16"/>
      <c r="G24" s="16">
        <v>157066</v>
      </c>
      <c r="H24" s="16"/>
      <c r="I24" s="16">
        <v>135061</v>
      </c>
      <c r="J24" s="16"/>
      <c r="K24" s="16">
        <v>7213</v>
      </c>
      <c r="L24" s="16"/>
      <c r="M24" s="16">
        <v>40922</v>
      </c>
      <c r="N24" s="16"/>
      <c r="O24" s="16">
        <v>505</v>
      </c>
      <c r="P24" s="16"/>
      <c r="Q24" s="16">
        <v>2258</v>
      </c>
      <c r="R24" s="16"/>
      <c r="S24" s="16">
        <v>13292</v>
      </c>
      <c r="T24" s="16"/>
      <c r="U24" s="16">
        <v>110000</v>
      </c>
      <c r="V24" s="16"/>
      <c r="W24" s="16">
        <v>0</v>
      </c>
      <c r="X24" s="16"/>
      <c r="Y24" s="16">
        <v>15702</v>
      </c>
      <c r="Z24" s="16"/>
      <c r="AA24" s="16">
        <v>0</v>
      </c>
      <c r="AB24" s="16"/>
      <c r="AC24" s="16">
        <v>0</v>
      </c>
      <c r="AD24" s="16"/>
      <c r="AE24" s="16">
        <f t="shared" si="0"/>
        <v>551975</v>
      </c>
    </row>
    <row r="25" spans="1:31" ht="12.75" customHeight="1">
      <c r="A25" s="1" t="s">
        <v>79</v>
      </c>
      <c r="B25" s="1"/>
      <c r="C25" s="1" t="s">
        <v>80</v>
      </c>
      <c r="D25" s="16"/>
      <c r="E25" s="16">
        <v>4828</v>
      </c>
      <c r="F25" s="16"/>
      <c r="G25" s="16">
        <v>0</v>
      </c>
      <c r="H25" s="16"/>
      <c r="I25" s="16">
        <v>6880</v>
      </c>
      <c r="J25" s="16"/>
      <c r="K25" s="16">
        <v>0</v>
      </c>
      <c r="L25" s="16"/>
      <c r="M25" s="16">
        <v>0</v>
      </c>
      <c r="N25" s="16"/>
      <c r="O25" s="16">
        <v>0</v>
      </c>
      <c r="P25" s="16"/>
      <c r="Q25" s="16">
        <v>0</v>
      </c>
      <c r="R25" s="16"/>
      <c r="S25" s="16">
        <v>2172</v>
      </c>
      <c r="T25" s="16"/>
      <c r="U25" s="16">
        <v>0</v>
      </c>
      <c r="V25" s="16"/>
      <c r="W25" s="16">
        <v>0</v>
      </c>
      <c r="X25" s="16"/>
      <c r="Y25" s="16">
        <v>0</v>
      </c>
      <c r="Z25" s="16"/>
      <c r="AA25" s="16">
        <v>0</v>
      </c>
      <c r="AB25" s="16"/>
      <c r="AC25" s="16">
        <v>0</v>
      </c>
      <c r="AD25" s="16"/>
      <c r="AE25" s="16">
        <f t="shared" si="0"/>
        <v>13880</v>
      </c>
    </row>
    <row r="26" spans="1:31" ht="12.75" customHeight="1">
      <c r="A26" s="1" t="s">
        <v>81</v>
      </c>
      <c r="B26" s="1"/>
      <c r="C26" s="1" t="s">
        <v>82</v>
      </c>
      <c r="D26" s="16"/>
      <c r="E26" s="16">
        <v>187023</v>
      </c>
      <c r="F26" s="16"/>
      <c r="G26" s="16">
        <v>0</v>
      </c>
      <c r="H26" s="16"/>
      <c r="I26" s="16">
        <v>135056</v>
      </c>
      <c r="J26" s="16"/>
      <c r="K26" s="16">
        <v>21376</v>
      </c>
      <c r="L26" s="16"/>
      <c r="M26" s="16">
        <v>42271</v>
      </c>
      <c r="N26" s="16"/>
      <c r="O26" s="16">
        <v>61413</v>
      </c>
      <c r="P26" s="16"/>
      <c r="Q26" s="16">
        <v>3242</v>
      </c>
      <c r="R26" s="16"/>
      <c r="S26" s="16">
        <v>20562</v>
      </c>
      <c r="T26" s="16"/>
      <c r="U26" s="16">
        <v>0</v>
      </c>
      <c r="V26" s="16"/>
      <c r="W26" s="16">
        <v>0</v>
      </c>
      <c r="X26" s="16"/>
      <c r="Y26" s="16">
        <v>35125</v>
      </c>
      <c r="Z26" s="16"/>
      <c r="AA26" s="16">
        <v>0</v>
      </c>
      <c r="AB26" s="16"/>
      <c r="AC26" s="16">
        <v>0</v>
      </c>
      <c r="AD26" s="16"/>
      <c r="AE26" s="16">
        <f t="shared" si="0"/>
        <v>506068</v>
      </c>
    </row>
    <row r="27" spans="1:31" ht="12.75" customHeight="1">
      <c r="A27" s="1" t="s">
        <v>83</v>
      </c>
      <c r="B27" s="1"/>
      <c r="C27" s="1" t="s">
        <v>84</v>
      </c>
      <c r="D27" s="16"/>
      <c r="E27" s="16">
        <v>44954</v>
      </c>
      <c r="F27" s="16"/>
      <c r="G27" s="16">
        <v>233128</v>
      </c>
      <c r="H27" s="16"/>
      <c r="I27" s="16">
        <v>211856</v>
      </c>
      <c r="J27" s="16"/>
      <c r="K27" s="16">
        <v>0</v>
      </c>
      <c r="L27" s="16"/>
      <c r="M27" s="16">
        <v>6210</v>
      </c>
      <c r="N27" s="16"/>
      <c r="O27" s="16">
        <v>150</v>
      </c>
      <c r="P27" s="16"/>
      <c r="Q27" s="16">
        <v>19267</v>
      </c>
      <c r="R27" s="16"/>
      <c r="S27" s="16">
        <v>17831</v>
      </c>
      <c r="T27" s="16"/>
      <c r="U27" s="16">
        <v>0</v>
      </c>
      <c r="V27" s="16"/>
      <c r="W27" s="16">
        <v>0</v>
      </c>
      <c r="X27" s="16"/>
      <c r="Y27" s="16">
        <v>122500</v>
      </c>
      <c r="Z27" s="16"/>
      <c r="AA27" s="16">
        <v>0</v>
      </c>
      <c r="AB27" s="16"/>
      <c r="AC27" s="16">
        <v>0</v>
      </c>
      <c r="AD27" s="16"/>
      <c r="AE27" s="16">
        <f t="shared" si="0"/>
        <v>655896</v>
      </c>
    </row>
    <row r="28" spans="1:31" ht="12.75" customHeight="1">
      <c r="A28" s="1" t="s">
        <v>571</v>
      </c>
      <c r="C28" s="1" t="s">
        <v>114</v>
      </c>
      <c r="E28" s="16">
        <v>51351</v>
      </c>
      <c r="F28" s="16"/>
      <c r="G28" s="16">
        <v>0</v>
      </c>
      <c r="H28" s="16"/>
      <c r="I28" s="16">
        <v>113244</v>
      </c>
      <c r="J28" s="16"/>
      <c r="K28" s="16">
        <v>3589</v>
      </c>
      <c r="L28" s="16"/>
      <c r="M28" s="16">
        <v>0</v>
      </c>
      <c r="N28" s="16"/>
      <c r="O28" s="16">
        <v>225</v>
      </c>
      <c r="P28" s="16"/>
      <c r="Q28" s="16">
        <v>8019</v>
      </c>
      <c r="R28" s="16"/>
      <c r="S28" s="16">
        <v>166792</v>
      </c>
      <c r="T28" s="16"/>
      <c r="U28" s="16">
        <v>0</v>
      </c>
      <c r="V28" s="16"/>
      <c r="W28" s="16">
        <v>0</v>
      </c>
      <c r="X28" s="16"/>
      <c r="Y28" s="16">
        <v>44000</v>
      </c>
      <c r="Z28" s="16"/>
      <c r="AA28" s="16">
        <v>0</v>
      </c>
      <c r="AB28" s="16"/>
      <c r="AC28" s="16">
        <v>0</v>
      </c>
      <c r="AD28" s="16"/>
      <c r="AE28" s="16">
        <f t="shared" si="0"/>
        <v>387220</v>
      </c>
    </row>
    <row r="29" spans="1:31" ht="12.75" customHeight="1">
      <c r="A29" s="1" t="s">
        <v>85</v>
      </c>
      <c r="B29" s="1"/>
      <c r="C29" s="1" t="s">
        <v>78</v>
      </c>
      <c r="D29" s="16"/>
      <c r="E29" s="16">
        <v>112222</v>
      </c>
      <c r="F29" s="16"/>
      <c r="G29" s="16">
        <v>234228</v>
      </c>
      <c r="H29" s="16"/>
      <c r="I29" s="16">
        <v>2224459</v>
      </c>
      <c r="J29" s="16"/>
      <c r="K29" s="16">
        <v>0</v>
      </c>
      <c r="L29" s="16"/>
      <c r="M29" s="16">
        <v>75713</v>
      </c>
      <c r="N29" s="16"/>
      <c r="O29" s="16">
        <v>735</v>
      </c>
      <c r="P29" s="16"/>
      <c r="Q29" s="16">
        <v>23806</v>
      </c>
      <c r="R29" s="16"/>
      <c r="S29" s="16">
        <v>18720</v>
      </c>
      <c r="T29" s="16"/>
      <c r="U29" s="16">
        <v>0</v>
      </c>
      <c r="V29" s="16"/>
      <c r="W29" s="16">
        <v>0</v>
      </c>
      <c r="X29" s="16"/>
      <c r="Y29" s="16">
        <v>92000</v>
      </c>
      <c r="Z29" s="16"/>
      <c r="AA29" s="16">
        <v>0</v>
      </c>
      <c r="AB29" s="16"/>
      <c r="AC29" s="16">
        <v>0</v>
      </c>
      <c r="AD29" s="16"/>
      <c r="AE29" s="16">
        <f t="shared" si="0"/>
        <v>2781883</v>
      </c>
    </row>
    <row r="30" spans="1:31" ht="12.75" customHeight="1">
      <c r="A30" s="1" t="s">
        <v>86</v>
      </c>
      <c r="B30" s="1"/>
      <c r="C30" s="1" t="s">
        <v>87</v>
      </c>
      <c r="D30" s="16"/>
      <c r="E30" s="16">
        <v>834008</v>
      </c>
      <c r="F30" s="16"/>
      <c r="G30" s="16">
        <f>3914752+788943</f>
        <v>4703695</v>
      </c>
      <c r="H30" s="16"/>
      <c r="I30" s="16">
        <f>298088+256156</f>
        <v>554244</v>
      </c>
      <c r="J30" s="16"/>
      <c r="K30" s="16">
        <f>282649+7667</f>
        <v>290316</v>
      </c>
      <c r="L30" s="16"/>
      <c r="M30" s="16">
        <f>486682+41112</f>
        <v>527794</v>
      </c>
      <c r="N30" s="16"/>
      <c r="O30" s="16">
        <v>14801</v>
      </c>
      <c r="P30" s="16"/>
      <c r="Q30" s="16">
        <f>23921+25365+16133</f>
        <v>65419</v>
      </c>
      <c r="R30" s="16"/>
      <c r="S30" s="16">
        <f>38122+81652+128043</f>
        <v>247817</v>
      </c>
      <c r="T30" s="16"/>
      <c r="U30" s="16">
        <v>1255677</v>
      </c>
      <c r="V30" s="16"/>
      <c r="W30" s="16">
        <v>0</v>
      </c>
      <c r="X30" s="16"/>
      <c r="Y30" s="16">
        <v>3925000</v>
      </c>
      <c r="Z30" s="16"/>
      <c r="AA30" s="16">
        <v>1060</v>
      </c>
      <c r="AB30" s="16"/>
      <c r="AC30" s="16">
        <v>428773</v>
      </c>
      <c r="AD30" s="16"/>
      <c r="AE30" s="16">
        <f t="shared" si="0"/>
        <v>12848604</v>
      </c>
    </row>
    <row r="31" spans="1:31" ht="12.75" customHeight="1">
      <c r="A31" s="1" t="s">
        <v>572</v>
      </c>
      <c r="C31" s="1" t="s">
        <v>114</v>
      </c>
      <c r="E31" s="16">
        <v>72655</v>
      </c>
      <c r="F31" s="16"/>
      <c r="G31" s="16">
        <v>129168</v>
      </c>
      <c r="H31" s="16"/>
      <c r="I31" s="16">
        <v>275790</v>
      </c>
      <c r="J31" s="16"/>
      <c r="K31" s="16">
        <v>51943</v>
      </c>
      <c r="L31" s="16"/>
      <c r="M31" s="16">
        <v>22577</v>
      </c>
      <c r="N31" s="16"/>
      <c r="O31" s="16">
        <v>3072</v>
      </c>
      <c r="P31" s="16"/>
      <c r="Q31" s="16">
        <v>23390</v>
      </c>
      <c r="R31" s="16"/>
      <c r="S31" s="16">
        <v>4625</v>
      </c>
      <c r="T31" s="16"/>
      <c r="U31" s="16">
        <v>0</v>
      </c>
      <c r="V31" s="16"/>
      <c r="W31" s="16">
        <v>0</v>
      </c>
      <c r="X31" s="16"/>
      <c r="Y31" s="16">
        <v>82700</v>
      </c>
      <c r="Z31" s="16"/>
      <c r="AA31" s="16">
        <v>9400</v>
      </c>
      <c r="AB31" s="16"/>
      <c r="AC31" s="16">
        <v>167</v>
      </c>
      <c r="AD31" s="16"/>
      <c r="AE31" s="16">
        <f t="shared" si="0"/>
        <v>675487</v>
      </c>
    </row>
    <row r="32" spans="1:31" ht="12.75" customHeight="1">
      <c r="A32" s="1" t="s">
        <v>88</v>
      </c>
      <c r="B32" s="1"/>
      <c r="C32" s="1" t="s">
        <v>73</v>
      </c>
      <c r="D32" s="16"/>
      <c r="E32" s="16">
        <v>539339</v>
      </c>
      <c r="F32" s="16"/>
      <c r="G32" s="16">
        <v>0</v>
      </c>
      <c r="H32" s="16"/>
      <c r="I32" s="16">
        <v>436500</v>
      </c>
      <c r="J32" s="16"/>
      <c r="K32" s="16">
        <v>0</v>
      </c>
      <c r="L32" s="16"/>
      <c r="M32" s="16">
        <v>94182</v>
      </c>
      <c r="N32" s="16"/>
      <c r="O32" s="16">
        <v>176155</v>
      </c>
      <c r="P32" s="16"/>
      <c r="Q32" s="16">
        <v>0</v>
      </c>
      <c r="R32" s="16"/>
      <c r="S32" s="16">
        <v>46165</v>
      </c>
      <c r="T32" s="16"/>
      <c r="U32" s="16">
        <v>0</v>
      </c>
      <c r="V32" s="16"/>
      <c r="W32" s="16">
        <v>0</v>
      </c>
      <c r="X32" s="16"/>
      <c r="Y32" s="16">
        <v>0</v>
      </c>
      <c r="Z32" s="16"/>
      <c r="AA32" s="16">
        <v>0</v>
      </c>
      <c r="AB32" s="16"/>
      <c r="AC32" s="16">
        <v>0</v>
      </c>
      <c r="AD32" s="16"/>
      <c r="AE32" s="16">
        <f t="shared" si="0"/>
        <v>1292341</v>
      </c>
    </row>
    <row r="33" spans="1:31" ht="12.75" customHeight="1">
      <c r="A33" s="1" t="s">
        <v>89</v>
      </c>
      <c r="B33" s="1"/>
      <c r="C33" s="1" t="s">
        <v>90</v>
      </c>
      <c r="D33" s="16"/>
      <c r="E33" s="16">
        <v>217249</v>
      </c>
      <c r="F33" s="16"/>
      <c r="G33" s="16">
        <v>0</v>
      </c>
      <c r="H33" s="16"/>
      <c r="I33" s="16">
        <v>116924</v>
      </c>
      <c r="J33" s="16"/>
      <c r="K33" s="16">
        <v>13396</v>
      </c>
      <c r="L33" s="16"/>
      <c r="M33" s="16">
        <v>85392</v>
      </c>
      <c r="N33" s="16"/>
      <c r="O33" s="16">
        <v>3426</v>
      </c>
      <c r="P33" s="16"/>
      <c r="Q33" s="16">
        <v>-5</v>
      </c>
      <c r="R33" s="16"/>
      <c r="S33" s="16">
        <v>17744</v>
      </c>
      <c r="T33" s="16"/>
      <c r="U33" s="16">
        <v>0</v>
      </c>
      <c r="V33" s="16"/>
      <c r="W33" s="16">
        <v>0</v>
      </c>
      <c r="X33" s="16"/>
      <c r="Y33" s="16">
        <v>0</v>
      </c>
      <c r="Z33" s="16"/>
      <c r="AA33" s="16">
        <v>0</v>
      </c>
      <c r="AB33" s="16"/>
      <c r="AC33" s="16">
        <v>0</v>
      </c>
      <c r="AD33" s="16"/>
      <c r="AE33" s="16">
        <f t="shared" si="0"/>
        <v>454126</v>
      </c>
    </row>
    <row r="34" spans="1:31" ht="12.75" customHeight="1">
      <c r="A34" s="1" t="s">
        <v>685</v>
      </c>
      <c r="C34" s="1" t="s">
        <v>184</v>
      </c>
      <c r="E34" s="16">
        <v>122869</v>
      </c>
      <c r="F34" s="16"/>
      <c r="G34" s="16">
        <v>359591</v>
      </c>
      <c r="H34" s="16"/>
      <c r="I34" s="16">
        <v>281939</v>
      </c>
      <c r="J34" s="16"/>
      <c r="K34" s="16">
        <v>0</v>
      </c>
      <c r="L34" s="16"/>
      <c r="M34" s="16">
        <v>128604</v>
      </c>
      <c r="N34" s="16"/>
      <c r="O34" s="16">
        <v>78234</v>
      </c>
      <c r="P34" s="16"/>
      <c r="Q34" s="16">
        <v>11617</v>
      </c>
      <c r="R34" s="16"/>
      <c r="S34" s="16">
        <v>4032</v>
      </c>
      <c r="T34" s="16"/>
      <c r="U34" s="16">
        <v>0</v>
      </c>
      <c r="V34" s="16"/>
      <c r="W34" s="16">
        <v>0</v>
      </c>
      <c r="X34" s="16"/>
      <c r="Y34" s="16">
        <v>2851</v>
      </c>
      <c r="Z34" s="16"/>
      <c r="AA34" s="16">
        <v>0</v>
      </c>
      <c r="AB34" s="16"/>
      <c r="AC34" s="16">
        <v>0</v>
      </c>
      <c r="AD34" s="16"/>
      <c r="AE34" s="16">
        <f t="shared" si="0"/>
        <v>989737</v>
      </c>
    </row>
    <row r="35" spans="1:31" ht="12.75" customHeight="1">
      <c r="A35" s="1" t="s">
        <v>722</v>
      </c>
      <c r="C35" s="1" t="s">
        <v>118</v>
      </c>
      <c r="E35" s="16">
        <v>121240</v>
      </c>
      <c r="F35" s="16"/>
      <c r="G35" s="16">
        <v>0</v>
      </c>
      <c r="H35" s="16"/>
      <c r="I35" s="16">
        <v>113539</v>
      </c>
      <c r="J35" s="16"/>
      <c r="K35" s="16">
        <v>0</v>
      </c>
      <c r="L35" s="16"/>
      <c r="M35" s="16">
        <v>10365</v>
      </c>
      <c r="N35" s="16"/>
      <c r="O35" s="16">
        <v>26460</v>
      </c>
      <c r="P35" s="16"/>
      <c r="Q35" s="16">
        <v>2062</v>
      </c>
      <c r="R35" s="16"/>
      <c r="S35" s="16">
        <v>70211</v>
      </c>
      <c r="T35" s="16"/>
      <c r="U35" s="16">
        <v>0</v>
      </c>
      <c r="V35" s="16"/>
      <c r="W35" s="16">
        <v>0</v>
      </c>
      <c r="X35" s="16"/>
      <c r="Y35" s="16">
        <v>54175</v>
      </c>
      <c r="Z35" s="16"/>
      <c r="AA35" s="16">
        <v>0</v>
      </c>
      <c r="AB35" s="16"/>
      <c r="AC35" s="16">
        <v>0</v>
      </c>
      <c r="AD35" s="16"/>
      <c r="AE35" s="16">
        <f t="shared" si="0"/>
        <v>398052</v>
      </c>
    </row>
    <row r="36" spans="1:31" ht="12.75" customHeight="1">
      <c r="A36" s="1" t="s">
        <v>91</v>
      </c>
      <c r="B36" s="1"/>
      <c r="C36" s="30" t="s">
        <v>92</v>
      </c>
      <c r="E36" s="16">
        <f>5077</f>
        <v>5077</v>
      </c>
      <c r="F36" s="16"/>
      <c r="G36" s="16">
        <v>0</v>
      </c>
      <c r="H36" s="16"/>
      <c r="I36" s="16">
        <v>73476</v>
      </c>
      <c r="J36" s="16"/>
      <c r="K36" s="16">
        <v>0</v>
      </c>
      <c r="L36" s="16"/>
      <c r="M36" s="16">
        <v>4025</v>
      </c>
      <c r="N36" s="16"/>
      <c r="O36" s="16">
        <v>200</v>
      </c>
      <c r="P36" s="16"/>
      <c r="Q36" s="16">
        <v>372</v>
      </c>
      <c r="R36" s="16"/>
      <c r="S36" s="16">
        <v>1730</v>
      </c>
      <c r="T36" s="16"/>
      <c r="U36" s="16">
        <v>0</v>
      </c>
      <c r="V36" s="16"/>
      <c r="W36" s="16">
        <v>0</v>
      </c>
      <c r="X36" s="16"/>
      <c r="Y36" s="16">
        <v>0</v>
      </c>
      <c r="Z36" s="16"/>
      <c r="AA36" s="16">
        <v>0</v>
      </c>
      <c r="AB36" s="16"/>
      <c r="AC36" s="16">
        <v>0</v>
      </c>
      <c r="AD36" s="16"/>
      <c r="AE36" s="16">
        <f t="shared" si="0"/>
        <v>84880</v>
      </c>
    </row>
    <row r="37" spans="1:31" ht="12.75" customHeight="1">
      <c r="A37" s="1" t="s">
        <v>713</v>
      </c>
      <c r="C37" s="1" t="s">
        <v>712</v>
      </c>
      <c r="E37" s="16">
        <v>34665</v>
      </c>
      <c r="F37" s="16"/>
      <c r="G37" s="16">
        <v>0</v>
      </c>
      <c r="H37" s="16"/>
      <c r="I37" s="16">
        <v>107934</v>
      </c>
      <c r="J37" s="16"/>
      <c r="K37" s="16">
        <v>0</v>
      </c>
      <c r="L37" s="16"/>
      <c r="M37" s="16">
        <v>30098</v>
      </c>
      <c r="N37" s="16"/>
      <c r="O37" s="16">
        <v>0</v>
      </c>
      <c r="P37" s="16"/>
      <c r="Q37" s="16">
        <v>6360</v>
      </c>
      <c r="R37" s="16"/>
      <c r="S37" s="16">
        <v>4080</v>
      </c>
      <c r="T37" s="16"/>
      <c r="U37" s="16">
        <v>0</v>
      </c>
      <c r="V37" s="16"/>
      <c r="W37" s="16">
        <v>0</v>
      </c>
      <c r="X37" s="16"/>
      <c r="Y37" s="16">
        <v>0</v>
      </c>
      <c r="Z37" s="16"/>
      <c r="AA37" s="16">
        <v>0</v>
      </c>
      <c r="AB37" s="16"/>
      <c r="AC37" s="16">
        <v>0</v>
      </c>
      <c r="AD37" s="16"/>
      <c r="AE37" s="16">
        <f t="shared" si="0"/>
        <v>183137</v>
      </c>
    </row>
    <row r="38" spans="1:31" ht="12.75" customHeight="1">
      <c r="A38" s="1" t="s">
        <v>93</v>
      </c>
      <c r="B38" s="1"/>
      <c r="C38" s="1" t="s">
        <v>94</v>
      </c>
      <c r="D38" s="16"/>
      <c r="E38" s="16">
        <v>2302</v>
      </c>
      <c r="F38" s="16"/>
      <c r="G38" s="16">
        <v>0</v>
      </c>
      <c r="H38" s="16"/>
      <c r="I38" s="16">
        <f>9644+4011</f>
        <v>13655</v>
      </c>
      <c r="J38" s="16"/>
      <c r="K38" s="16">
        <v>2750</v>
      </c>
      <c r="L38" s="16"/>
      <c r="M38" s="16">
        <v>101</v>
      </c>
      <c r="N38" s="16"/>
      <c r="O38" s="16">
        <v>2377</v>
      </c>
      <c r="P38" s="16"/>
      <c r="Q38" s="16">
        <v>0</v>
      </c>
      <c r="R38" s="16"/>
      <c r="S38" s="16">
        <v>615</v>
      </c>
      <c r="T38" s="16"/>
      <c r="U38" s="16">
        <v>0</v>
      </c>
      <c r="V38" s="16"/>
      <c r="W38" s="16">
        <v>0</v>
      </c>
      <c r="X38" s="16"/>
      <c r="Y38" s="16">
        <v>2340</v>
      </c>
      <c r="Z38" s="16"/>
      <c r="AA38" s="16">
        <v>0</v>
      </c>
      <c r="AB38" s="16"/>
      <c r="AC38" s="16">
        <v>0</v>
      </c>
      <c r="AD38" s="16"/>
      <c r="AE38" s="16">
        <f t="shared" si="0"/>
        <v>24140</v>
      </c>
    </row>
    <row r="39" spans="1:31" ht="12.75" customHeight="1">
      <c r="A39" s="1" t="s">
        <v>95</v>
      </c>
      <c r="B39" s="1"/>
      <c r="C39" s="1" t="s">
        <v>96</v>
      </c>
      <c r="D39" s="16"/>
      <c r="E39" s="16">
        <v>96074</v>
      </c>
      <c r="F39" s="16"/>
      <c r="G39" s="16">
        <v>243821</v>
      </c>
      <c r="H39" s="16"/>
      <c r="I39" s="16">
        <v>56722</v>
      </c>
      <c r="J39" s="16"/>
      <c r="K39" s="16">
        <v>0</v>
      </c>
      <c r="L39" s="16"/>
      <c r="M39" s="16">
        <v>77485</v>
      </c>
      <c r="N39" s="16"/>
      <c r="O39" s="16">
        <v>2445</v>
      </c>
      <c r="P39" s="16"/>
      <c r="Q39" s="16">
        <v>2547</v>
      </c>
      <c r="R39" s="16"/>
      <c r="S39" s="16">
        <f>5954-435</f>
        <v>5519</v>
      </c>
      <c r="T39" s="16"/>
      <c r="U39" s="16">
        <v>0</v>
      </c>
      <c r="V39" s="16"/>
      <c r="W39" s="16">
        <v>0</v>
      </c>
      <c r="X39" s="16"/>
      <c r="Y39" s="16">
        <v>0</v>
      </c>
      <c r="Z39" s="16"/>
      <c r="AA39" s="16">
        <v>0</v>
      </c>
      <c r="AB39" s="16"/>
      <c r="AC39" s="16">
        <v>2309</v>
      </c>
      <c r="AD39" s="16"/>
      <c r="AE39" s="16">
        <f t="shared" si="0"/>
        <v>486922</v>
      </c>
    </row>
    <row r="40" spans="1:31" ht="12.75" customHeight="1">
      <c r="A40" s="1" t="s">
        <v>97</v>
      </c>
      <c r="B40" s="1"/>
      <c r="C40" s="1" t="s">
        <v>98</v>
      </c>
      <c r="D40" s="16"/>
      <c r="E40" s="16">
        <v>518806</v>
      </c>
      <c r="F40" s="16"/>
      <c r="G40" s="16">
        <v>0</v>
      </c>
      <c r="H40" s="16"/>
      <c r="I40" s="16">
        <v>188084</v>
      </c>
      <c r="J40" s="16"/>
      <c r="K40" s="16">
        <v>0</v>
      </c>
      <c r="L40" s="16"/>
      <c r="M40" s="16">
        <v>8425</v>
      </c>
      <c r="N40" s="16"/>
      <c r="O40" s="16">
        <v>26944</v>
      </c>
      <c r="P40" s="16"/>
      <c r="Q40" s="16">
        <v>13842</v>
      </c>
      <c r="R40" s="16"/>
      <c r="S40" s="16">
        <v>11081</v>
      </c>
      <c r="T40" s="16"/>
      <c r="U40" s="16">
        <v>0</v>
      </c>
      <c r="V40" s="16"/>
      <c r="W40" s="16">
        <v>0</v>
      </c>
      <c r="X40" s="16"/>
      <c r="Y40" s="16">
        <v>395000</v>
      </c>
      <c r="Z40" s="16"/>
      <c r="AA40" s="16">
        <v>0</v>
      </c>
      <c r="AB40" s="16"/>
      <c r="AC40" s="16">
        <v>0</v>
      </c>
      <c r="AD40" s="16"/>
      <c r="AE40" s="16">
        <f aca="true" t="shared" si="1" ref="AE40:AE71">SUM(E40:AC40)</f>
        <v>1162182</v>
      </c>
    </row>
    <row r="41" spans="1:31" ht="12.75" customHeight="1">
      <c r="A41" s="1" t="s">
        <v>99</v>
      </c>
      <c r="B41" s="1"/>
      <c r="C41" s="1" t="s">
        <v>100</v>
      </c>
      <c r="E41" s="16">
        <f>129342-11526</f>
        <v>117816</v>
      </c>
      <c r="F41" s="16"/>
      <c r="G41" s="16">
        <v>542798</v>
      </c>
      <c r="H41" s="16"/>
      <c r="I41" s="16">
        <f>278971+219371+171971</f>
        <v>670313</v>
      </c>
      <c r="J41" s="16"/>
      <c r="K41" s="16">
        <v>0</v>
      </c>
      <c r="L41" s="16"/>
      <c r="M41" s="16">
        <f>188438</f>
        <v>188438</v>
      </c>
      <c r="N41" s="16"/>
      <c r="O41" s="16">
        <f>55516+20315</f>
        <v>75831</v>
      </c>
      <c r="P41" s="16"/>
      <c r="Q41" s="16">
        <f>52112+9724</f>
        <v>61836</v>
      </c>
      <c r="R41" s="16"/>
      <c r="S41" s="16">
        <f>8703+10798</f>
        <v>19501</v>
      </c>
      <c r="T41" s="16"/>
      <c r="U41" s="16">
        <v>76628</v>
      </c>
      <c r="V41" s="16"/>
      <c r="W41" s="16">
        <v>0</v>
      </c>
      <c r="X41" s="16"/>
      <c r="Y41" s="16">
        <v>796847</v>
      </c>
      <c r="Z41" s="16"/>
      <c r="AA41" s="16">
        <v>0</v>
      </c>
      <c r="AB41" s="16"/>
      <c r="AC41" s="16">
        <v>0</v>
      </c>
      <c r="AD41" s="16"/>
      <c r="AE41" s="16">
        <f t="shared" si="1"/>
        <v>2550008</v>
      </c>
    </row>
    <row r="42" spans="1:31" ht="12.75" customHeight="1">
      <c r="A42" s="1" t="s">
        <v>101</v>
      </c>
      <c r="B42" s="1"/>
      <c r="C42" s="1" t="s">
        <v>102</v>
      </c>
      <c r="E42" s="16">
        <f>59130+2822</f>
        <v>61952</v>
      </c>
      <c r="F42" s="16"/>
      <c r="G42" s="16">
        <v>0</v>
      </c>
      <c r="H42" s="16"/>
      <c r="I42" s="16">
        <f>171743+157726</f>
        <v>329469</v>
      </c>
      <c r="J42" s="16"/>
      <c r="K42" s="16">
        <v>0</v>
      </c>
      <c r="L42" s="16"/>
      <c r="M42" s="16">
        <v>7513</v>
      </c>
      <c r="N42" s="16"/>
      <c r="O42" s="16">
        <f>17007+100</f>
        <v>17107</v>
      </c>
      <c r="P42" s="16"/>
      <c r="Q42" s="16">
        <f>3140+2375</f>
        <v>5515</v>
      </c>
      <c r="R42" s="16"/>
      <c r="S42" s="16">
        <f>34+194+920</f>
        <v>1148</v>
      </c>
      <c r="T42" s="16"/>
      <c r="U42" s="16">
        <v>1169088</v>
      </c>
      <c r="V42" s="16"/>
      <c r="W42" s="16">
        <v>3501</v>
      </c>
      <c r="X42" s="16"/>
      <c r="Y42" s="16">
        <v>694679</v>
      </c>
      <c r="Z42" s="16"/>
      <c r="AA42" s="16">
        <v>0</v>
      </c>
      <c r="AB42" s="16"/>
      <c r="AC42" s="16">
        <v>6930</v>
      </c>
      <c r="AD42" s="16"/>
      <c r="AE42" s="16">
        <f t="shared" si="1"/>
        <v>2296902</v>
      </c>
    </row>
    <row r="43" spans="1:31" ht="12.75" customHeight="1">
      <c r="A43" s="1" t="s">
        <v>103</v>
      </c>
      <c r="B43" s="1"/>
      <c r="C43" s="1" t="s">
        <v>104</v>
      </c>
      <c r="D43" s="16"/>
      <c r="E43" s="16">
        <v>1836</v>
      </c>
      <c r="F43" s="16"/>
      <c r="G43" s="16">
        <v>0</v>
      </c>
      <c r="H43" s="16"/>
      <c r="I43" s="16">
        <v>18914</v>
      </c>
      <c r="J43" s="16"/>
      <c r="K43" s="16">
        <v>0</v>
      </c>
      <c r="L43" s="16"/>
      <c r="M43" s="16">
        <v>0</v>
      </c>
      <c r="N43" s="16"/>
      <c r="O43" s="16">
        <v>0</v>
      </c>
      <c r="P43" s="16"/>
      <c r="Q43" s="16">
        <v>7</v>
      </c>
      <c r="R43" s="16"/>
      <c r="S43" s="16">
        <v>1495</v>
      </c>
      <c r="T43" s="16"/>
      <c r="U43" s="16">
        <v>0</v>
      </c>
      <c r="V43" s="16"/>
      <c r="W43" s="16">
        <v>0</v>
      </c>
      <c r="X43" s="16"/>
      <c r="Y43" s="16">
        <v>0</v>
      </c>
      <c r="Z43" s="16"/>
      <c r="AA43" s="16">
        <v>0</v>
      </c>
      <c r="AB43" s="16"/>
      <c r="AC43" s="16">
        <v>0</v>
      </c>
      <c r="AD43" s="16"/>
      <c r="AE43" s="16">
        <f t="shared" si="1"/>
        <v>22252</v>
      </c>
    </row>
    <row r="44" spans="1:31" ht="12.75" customHeight="1">
      <c r="A44" s="1" t="s">
        <v>527</v>
      </c>
      <c r="C44" s="1" t="s">
        <v>261</v>
      </c>
      <c r="E44" s="16">
        <v>105058</v>
      </c>
      <c r="F44" s="16"/>
      <c r="G44" s="16">
        <v>0</v>
      </c>
      <c r="H44" s="16"/>
      <c r="I44" s="16">
        <v>201312</v>
      </c>
      <c r="J44" s="16"/>
      <c r="K44" s="16">
        <v>6423</v>
      </c>
      <c r="L44" s="16"/>
      <c r="M44" s="16">
        <v>0</v>
      </c>
      <c r="N44" s="16"/>
      <c r="O44" s="16">
        <v>13523</v>
      </c>
      <c r="P44" s="16"/>
      <c r="Q44" s="16">
        <v>740</v>
      </c>
      <c r="R44" s="16"/>
      <c r="S44" s="16">
        <v>63713</v>
      </c>
      <c r="T44" s="16"/>
      <c r="U44" s="16">
        <v>0</v>
      </c>
      <c r="V44" s="16"/>
      <c r="W44" s="16">
        <v>0</v>
      </c>
      <c r="X44" s="16"/>
      <c r="Y44" s="16">
        <v>31139</v>
      </c>
      <c r="Z44" s="16"/>
      <c r="AA44" s="16">
        <v>0</v>
      </c>
      <c r="AB44" s="16"/>
      <c r="AC44" s="16">
        <v>0</v>
      </c>
      <c r="AD44" s="16"/>
      <c r="AE44" s="16">
        <f t="shared" si="1"/>
        <v>421908</v>
      </c>
    </row>
    <row r="45" spans="1:31" ht="12.75" customHeight="1">
      <c r="A45" s="1" t="s">
        <v>105</v>
      </c>
      <c r="B45" s="1"/>
      <c r="C45" s="1" t="s">
        <v>106</v>
      </c>
      <c r="D45" s="16"/>
      <c r="E45" s="16">
        <v>120074</v>
      </c>
      <c r="F45" s="16"/>
      <c r="G45" s="16">
        <v>77755</v>
      </c>
      <c r="H45" s="16"/>
      <c r="I45" s="16">
        <v>112789</v>
      </c>
      <c r="J45" s="16"/>
      <c r="K45" s="16">
        <v>0</v>
      </c>
      <c r="L45" s="16"/>
      <c r="M45" s="16">
        <f>35373-160</f>
        <v>35213</v>
      </c>
      <c r="N45" s="16"/>
      <c r="O45" s="16">
        <v>47</v>
      </c>
      <c r="P45" s="16"/>
      <c r="Q45" s="16">
        <v>14337</v>
      </c>
      <c r="R45" s="16"/>
      <c r="S45" s="16">
        <v>15446</v>
      </c>
      <c r="T45" s="16"/>
      <c r="U45" s="16">
        <v>0</v>
      </c>
      <c r="V45" s="16"/>
      <c r="W45" s="16">
        <v>0</v>
      </c>
      <c r="X45" s="16"/>
      <c r="Y45" s="16">
        <v>0</v>
      </c>
      <c r="Z45" s="16"/>
      <c r="AA45" s="16">
        <v>0</v>
      </c>
      <c r="AB45" s="16"/>
      <c r="AC45" s="16">
        <v>1879</v>
      </c>
      <c r="AD45" s="16"/>
      <c r="AE45" s="16">
        <f t="shared" si="1"/>
        <v>377540</v>
      </c>
    </row>
    <row r="46" spans="1:31" ht="12.75" customHeight="1">
      <c r="A46" s="1" t="s">
        <v>658</v>
      </c>
      <c r="C46" s="1" t="s">
        <v>80</v>
      </c>
      <c r="E46" s="16">
        <v>20504</v>
      </c>
      <c r="F46" s="16"/>
      <c r="G46" s="16">
        <v>0</v>
      </c>
      <c r="H46" s="16"/>
      <c r="I46" s="16">
        <v>33315</v>
      </c>
      <c r="J46" s="16"/>
      <c r="K46" s="16">
        <v>0</v>
      </c>
      <c r="L46" s="16"/>
      <c r="M46" s="16">
        <v>0</v>
      </c>
      <c r="N46" s="16"/>
      <c r="O46" s="16">
        <v>0</v>
      </c>
      <c r="P46" s="16"/>
      <c r="Q46" s="16">
        <v>502</v>
      </c>
      <c r="R46" s="16"/>
      <c r="S46" s="16">
        <v>5788</v>
      </c>
      <c r="T46" s="16"/>
      <c r="U46" s="16">
        <v>0</v>
      </c>
      <c r="V46" s="16"/>
      <c r="W46" s="16">
        <v>0</v>
      </c>
      <c r="X46" s="16"/>
      <c r="Y46" s="16">
        <v>0</v>
      </c>
      <c r="Z46" s="16"/>
      <c r="AA46" s="16">
        <v>0</v>
      </c>
      <c r="AB46" s="16"/>
      <c r="AC46" s="16">
        <v>0</v>
      </c>
      <c r="AD46" s="16"/>
      <c r="AE46" s="16">
        <f t="shared" si="1"/>
        <v>60109</v>
      </c>
    </row>
    <row r="47" spans="1:31" ht="12.75" customHeight="1">
      <c r="A47" s="1" t="s">
        <v>690</v>
      </c>
      <c r="C47" s="1" t="s">
        <v>353</v>
      </c>
      <c r="E47" s="16">
        <v>24674</v>
      </c>
      <c r="F47" s="16"/>
      <c r="G47" s="16">
        <v>0</v>
      </c>
      <c r="H47" s="16"/>
      <c r="I47" s="16">
        <v>128653</v>
      </c>
      <c r="J47" s="16"/>
      <c r="K47" s="16">
        <v>0</v>
      </c>
      <c r="L47" s="16"/>
      <c r="M47" s="16">
        <v>55100</v>
      </c>
      <c r="N47" s="16"/>
      <c r="O47" s="16">
        <v>2883</v>
      </c>
      <c r="P47" s="16"/>
      <c r="Q47" s="16">
        <v>1060</v>
      </c>
      <c r="R47" s="16"/>
      <c r="S47" s="16">
        <v>4528</v>
      </c>
      <c r="T47" s="16"/>
      <c r="U47" s="16">
        <v>0</v>
      </c>
      <c r="V47" s="16"/>
      <c r="W47" s="16">
        <v>0</v>
      </c>
      <c r="X47" s="16"/>
      <c r="Y47" s="16">
        <v>0</v>
      </c>
      <c r="Z47" s="16"/>
      <c r="AA47" s="16">
        <v>0</v>
      </c>
      <c r="AB47" s="16"/>
      <c r="AC47" s="16">
        <v>0</v>
      </c>
      <c r="AD47" s="16"/>
      <c r="AE47" s="16">
        <f t="shared" si="1"/>
        <v>216898</v>
      </c>
    </row>
    <row r="48" spans="1:31" ht="12.75" customHeight="1">
      <c r="A48" s="1" t="s">
        <v>446</v>
      </c>
      <c r="B48" s="1"/>
      <c r="C48" s="1" t="s">
        <v>447</v>
      </c>
      <c r="E48" s="16">
        <v>15391</v>
      </c>
      <c r="F48" s="16"/>
      <c r="G48" s="16">
        <v>0</v>
      </c>
      <c r="H48" s="16"/>
      <c r="I48" s="16">
        <v>42263</v>
      </c>
      <c r="J48" s="16"/>
      <c r="K48" s="16">
        <v>2000</v>
      </c>
      <c r="L48" s="16"/>
      <c r="M48" s="16">
        <v>9200</v>
      </c>
      <c r="N48" s="16"/>
      <c r="O48" s="16">
        <v>2066</v>
      </c>
      <c r="P48" s="16"/>
      <c r="Q48" s="16">
        <v>2967</v>
      </c>
      <c r="R48" s="16"/>
      <c r="S48" s="16">
        <v>38102</v>
      </c>
      <c r="T48" s="16"/>
      <c r="U48" s="16">
        <v>0</v>
      </c>
      <c r="V48" s="16"/>
      <c r="W48" s="16">
        <v>0</v>
      </c>
      <c r="X48" s="16"/>
      <c r="Y48" s="16">
        <v>0</v>
      </c>
      <c r="Z48" s="16"/>
      <c r="AA48" s="16">
        <v>0</v>
      </c>
      <c r="AB48" s="16"/>
      <c r="AC48" s="16">
        <v>7127</v>
      </c>
      <c r="AD48" s="16"/>
      <c r="AE48" s="16">
        <f t="shared" si="1"/>
        <v>119116</v>
      </c>
    </row>
    <row r="49" spans="1:31" ht="12.75" customHeight="1">
      <c r="A49" s="1" t="s">
        <v>107</v>
      </c>
      <c r="B49" s="1"/>
      <c r="C49" s="1" t="s">
        <v>100</v>
      </c>
      <c r="E49" s="16">
        <v>170009</v>
      </c>
      <c r="F49" s="16"/>
      <c r="G49" s="16">
        <v>602995</v>
      </c>
      <c r="H49" s="16"/>
      <c r="I49" s="16">
        <v>847712</v>
      </c>
      <c r="J49" s="16"/>
      <c r="K49" s="16">
        <v>0</v>
      </c>
      <c r="L49" s="16"/>
      <c r="M49" s="16">
        <v>100385</v>
      </c>
      <c r="N49" s="16"/>
      <c r="O49" s="16">
        <v>56561</v>
      </c>
      <c r="P49" s="16"/>
      <c r="Q49" s="16">
        <v>5362</v>
      </c>
      <c r="R49" s="16"/>
      <c r="S49" s="16">
        <f>27139+17903</f>
        <v>45042</v>
      </c>
      <c r="T49" s="16"/>
      <c r="U49" s="16">
        <v>0</v>
      </c>
      <c r="V49" s="16"/>
      <c r="W49" s="16">
        <v>0</v>
      </c>
      <c r="X49" s="16"/>
      <c r="Y49" s="16">
        <v>0</v>
      </c>
      <c r="Z49" s="16"/>
      <c r="AA49" s="16">
        <v>0</v>
      </c>
      <c r="AB49" s="16"/>
      <c r="AC49" s="16">
        <v>0</v>
      </c>
      <c r="AD49" s="16"/>
      <c r="AE49" s="16">
        <f t="shared" si="1"/>
        <v>1828066</v>
      </c>
    </row>
    <row r="50" spans="1:31" ht="12.75" customHeight="1">
      <c r="A50" s="1" t="s">
        <v>616</v>
      </c>
      <c r="C50" s="1" t="s">
        <v>369</v>
      </c>
      <c r="E50" s="16">
        <v>39184</v>
      </c>
      <c r="F50" s="16"/>
      <c r="G50" s="16">
        <v>108134</v>
      </c>
      <c r="H50" s="16"/>
      <c r="I50" s="16">
        <v>37517</v>
      </c>
      <c r="J50" s="16"/>
      <c r="K50" s="16">
        <v>0</v>
      </c>
      <c r="L50" s="16"/>
      <c r="M50" s="16">
        <v>1951</v>
      </c>
      <c r="N50" s="16"/>
      <c r="O50" s="16">
        <v>5364</v>
      </c>
      <c r="P50" s="16"/>
      <c r="Q50" s="16">
        <v>4510</v>
      </c>
      <c r="R50" s="16"/>
      <c r="S50" s="16">
        <v>4317</v>
      </c>
      <c r="T50" s="16"/>
      <c r="U50" s="16">
        <v>0</v>
      </c>
      <c r="V50" s="16"/>
      <c r="W50" s="16">
        <v>0</v>
      </c>
      <c r="X50" s="16"/>
      <c r="Y50" s="16">
        <v>0</v>
      </c>
      <c r="Z50" s="16"/>
      <c r="AA50" s="16">
        <v>0</v>
      </c>
      <c r="AB50" s="16"/>
      <c r="AC50" s="16">
        <v>0</v>
      </c>
      <c r="AD50" s="16"/>
      <c r="AE50" s="16">
        <f t="shared" si="1"/>
        <v>200977</v>
      </c>
    </row>
    <row r="51" spans="1:31" ht="12.75" customHeight="1">
      <c r="A51" s="1" t="s">
        <v>108</v>
      </c>
      <c r="B51" s="1"/>
      <c r="C51" s="1" t="s">
        <v>104</v>
      </c>
      <c r="D51" s="16"/>
      <c r="E51" s="16">
        <v>8913</v>
      </c>
      <c r="F51" s="16"/>
      <c r="G51" s="16">
        <v>0</v>
      </c>
      <c r="H51" s="16"/>
      <c r="I51" s="16">
        <v>76797</v>
      </c>
      <c r="J51" s="16"/>
      <c r="K51" s="16">
        <v>0</v>
      </c>
      <c r="L51" s="16"/>
      <c r="M51" s="16">
        <v>2355</v>
      </c>
      <c r="N51" s="16"/>
      <c r="O51" s="16">
        <v>0</v>
      </c>
      <c r="P51" s="16"/>
      <c r="Q51" s="16">
        <v>21</v>
      </c>
      <c r="R51" s="16"/>
      <c r="S51" s="16">
        <v>1400</v>
      </c>
      <c r="T51" s="16"/>
      <c r="U51" s="16">
        <v>51000</v>
      </c>
      <c r="V51" s="16"/>
      <c r="W51" s="16">
        <v>0</v>
      </c>
      <c r="X51" s="16"/>
      <c r="Y51" s="16">
        <v>0</v>
      </c>
      <c r="Z51" s="16"/>
      <c r="AA51" s="16">
        <v>0</v>
      </c>
      <c r="AB51" s="16"/>
      <c r="AC51" s="16">
        <v>0</v>
      </c>
      <c r="AD51" s="16"/>
      <c r="AE51" s="16">
        <f t="shared" si="1"/>
        <v>140486</v>
      </c>
    </row>
    <row r="52" spans="1:31" ht="12.75" customHeight="1">
      <c r="A52" s="1" t="s">
        <v>709</v>
      </c>
      <c r="C52" s="1" t="s">
        <v>147</v>
      </c>
      <c r="E52" s="16">
        <v>390030</v>
      </c>
      <c r="F52" s="16"/>
      <c r="G52" s="16">
        <v>336224</v>
      </c>
      <c r="H52" s="16"/>
      <c r="I52" s="16">
        <v>141156</v>
      </c>
      <c r="J52" s="16"/>
      <c r="K52" s="16">
        <v>0</v>
      </c>
      <c r="L52" s="16"/>
      <c r="M52" s="16">
        <v>44331</v>
      </c>
      <c r="N52" s="16"/>
      <c r="O52" s="16">
        <v>54521</v>
      </c>
      <c r="P52" s="16"/>
      <c r="Q52" s="16">
        <v>4709</v>
      </c>
      <c r="R52" s="16"/>
      <c r="S52" s="16">
        <v>91757</v>
      </c>
      <c r="T52" s="16"/>
      <c r="U52" s="16">
        <v>405000</v>
      </c>
      <c r="V52" s="16"/>
      <c r="W52" s="16">
        <v>9428</v>
      </c>
      <c r="X52" s="16"/>
      <c r="Y52" s="16">
        <v>447129</v>
      </c>
      <c r="Z52" s="16"/>
      <c r="AA52" s="16">
        <v>0</v>
      </c>
      <c r="AB52" s="16"/>
      <c r="AC52" s="16">
        <v>729907</v>
      </c>
      <c r="AD52" s="16"/>
      <c r="AE52" s="16">
        <f t="shared" si="1"/>
        <v>2654192</v>
      </c>
    </row>
    <row r="53" spans="1:31" ht="12.75" customHeight="1">
      <c r="A53" s="1" t="s">
        <v>100</v>
      </c>
      <c r="B53" s="1"/>
      <c r="C53" s="1" t="s">
        <v>100</v>
      </c>
      <c r="E53" s="16">
        <v>35786</v>
      </c>
      <c r="F53" s="16"/>
      <c r="G53" s="16">
        <v>0</v>
      </c>
      <c r="H53" s="16"/>
      <c r="I53" s="16">
        <v>74956</v>
      </c>
      <c r="J53" s="16"/>
      <c r="K53" s="16">
        <v>613</v>
      </c>
      <c r="L53" s="16"/>
      <c r="M53" s="16">
        <v>66918</v>
      </c>
      <c r="N53" s="16"/>
      <c r="O53" s="16">
        <v>4421</v>
      </c>
      <c r="P53" s="16"/>
      <c r="Q53" s="16">
        <v>1353</v>
      </c>
      <c r="R53" s="16"/>
      <c r="S53" s="16">
        <v>26801</v>
      </c>
      <c r="T53" s="16"/>
      <c r="U53" s="16">
        <v>0</v>
      </c>
      <c r="V53" s="16"/>
      <c r="W53" s="16">
        <v>6975</v>
      </c>
      <c r="X53" s="16"/>
      <c r="Y53" s="16">
        <v>7500</v>
      </c>
      <c r="Z53" s="16"/>
      <c r="AA53" s="16">
        <v>5498</v>
      </c>
      <c r="AB53" s="16"/>
      <c r="AC53" s="16">
        <v>16500</v>
      </c>
      <c r="AD53" s="16"/>
      <c r="AE53" s="16">
        <f t="shared" si="1"/>
        <v>247321</v>
      </c>
    </row>
    <row r="54" spans="1:31" ht="12.75" customHeight="1">
      <c r="A54" s="1" t="s">
        <v>109</v>
      </c>
      <c r="B54" s="1"/>
      <c r="C54" s="1" t="s">
        <v>110</v>
      </c>
      <c r="D54" s="16"/>
      <c r="E54" s="16">
        <v>43641</v>
      </c>
      <c r="F54" s="16"/>
      <c r="G54" s="16">
        <v>11202</v>
      </c>
      <c r="H54" s="16"/>
      <c r="I54" s="16">
        <v>0</v>
      </c>
      <c r="J54" s="16"/>
      <c r="K54" s="16">
        <v>0</v>
      </c>
      <c r="L54" s="16"/>
      <c r="M54" s="16">
        <v>0</v>
      </c>
      <c r="N54" s="16"/>
      <c r="O54" s="16">
        <v>0</v>
      </c>
      <c r="P54" s="16"/>
      <c r="Q54" s="16">
        <v>0</v>
      </c>
      <c r="R54" s="16"/>
      <c r="S54" s="16">
        <v>0</v>
      </c>
      <c r="T54" s="16"/>
      <c r="U54" s="16">
        <v>0</v>
      </c>
      <c r="V54" s="16"/>
      <c r="W54" s="16">
        <v>0</v>
      </c>
      <c r="X54" s="16"/>
      <c r="Y54" s="16">
        <v>0</v>
      </c>
      <c r="Z54" s="16"/>
      <c r="AA54" s="16">
        <v>0</v>
      </c>
      <c r="AB54" s="16"/>
      <c r="AC54" s="16">
        <v>0</v>
      </c>
      <c r="AD54" s="16"/>
      <c r="AE54" s="16">
        <f t="shared" si="1"/>
        <v>54843</v>
      </c>
    </row>
    <row r="55" spans="1:31" ht="12.75" customHeight="1">
      <c r="A55" s="1" t="s">
        <v>630</v>
      </c>
      <c r="C55" s="1" t="s">
        <v>378</v>
      </c>
      <c r="E55" s="16">
        <v>121580</v>
      </c>
      <c r="F55" s="16"/>
      <c r="G55" s="16">
        <v>0</v>
      </c>
      <c r="H55" s="16"/>
      <c r="I55" s="16">
        <v>42960</v>
      </c>
      <c r="J55" s="16"/>
      <c r="K55" s="16">
        <v>2813</v>
      </c>
      <c r="L55" s="16"/>
      <c r="M55" s="16">
        <v>64377</v>
      </c>
      <c r="N55" s="16"/>
      <c r="O55" s="16">
        <v>0</v>
      </c>
      <c r="P55" s="16"/>
      <c r="Q55" s="16">
        <v>3829</v>
      </c>
      <c r="R55" s="16"/>
      <c r="S55" s="16">
        <v>69586</v>
      </c>
      <c r="T55" s="16"/>
      <c r="U55" s="16">
        <v>0</v>
      </c>
      <c r="V55" s="16"/>
      <c r="W55" s="16">
        <v>0</v>
      </c>
      <c r="X55" s="16"/>
      <c r="Y55" s="16">
        <v>0</v>
      </c>
      <c r="Z55" s="16"/>
      <c r="AA55" s="16">
        <v>0</v>
      </c>
      <c r="AB55" s="16"/>
      <c r="AC55" s="16">
        <v>0</v>
      </c>
      <c r="AD55" s="16"/>
      <c r="AE55" s="16">
        <f t="shared" si="1"/>
        <v>305145</v>
      </c>
    </row>
    <row r="56" spans="1:31" ht="12.75" customHeight="1">
      <c r="A56" s="1" t="s">
        <v>111</v>
      </c>
      <c r="B56" s="1"/>
      <c r="C56" s="1" t="s">
        <v>112</v>
      </c>
      <c r="D56" s="16"/>
      <c r="E56" s="16">
        <f>352524+49529+56634</f>
        <v>458687</v>
      </c>
      <c r="F56" s="16"/>
      <c r="G56" s="16">
        <v>899430</v>
      </c>
      <c r="H56" s="16"/>
      <c r="I56" s="16">
        <f>78296+46582</f>
        <v>124878</v>
      </c>
      <c r="J56" s="16"/>
      <c r="K56" s="16">
        <v>71683</v>
      </c>
      <c r="L56" s="16"/>
      <c r="M56" s="16">
        <f>2198+2000</f>
        <v>4198</v>
      </c>
      <c r="N56" s="16"/>
      <c r="O56" s="16">
        <f>39263+4318</f>
        <v>43581</v>
      </c>
      <c r="P56" s="16"/>
      <c r="Q56" s="16">
        <f>13277+274</f>
        <v>13551</v>
      </c>
      <c r="R56" s="16"/>
      <c r="S56" s="16">
        <v>758</v>
      </c>
      <c r="T56" s="16"/>
      <c r="U56" s="16">
        <v>861046</v>
      </c>
      <c r="V56" s="16"/>
      <c r="W56" s="16">
        <v>0</v>
      </c>
      <c r="X56" s="16"/>
      <c r="Y56" s="16">
        <v>331041</v>
      </c>
      <c r="Z56" s="16"/>
      <c r="AA56" s="16">
        <v>325000</v>
      </c>
      <c r="AB56" s="16"/>
      <c r="AC56" s="16">
        <v>24974</v>
      </c>
      <c r="AD56" s="16"/>
      <c r="AE56" s="16">
        <f t="shared" si="1"/>
        <v>3158827</v>
      </c>
    </row>
    <row r="57" spans="1:31" ht="12.75" customHeight="1">
      <c r="A57" s="1" t="s">
        <v>113</v>
      </c>
      <c r="B57" s="1"/>
      <c r="C57" s="1" t="s">
        <v>114</v>
      </c>
      <c r="D57" s="16"/>
      <c r="E57" s="16">
        <f>5062+11286</f>
        <v>16348</v>
      </c>
      <c r="F57" s="16"/>
      <c r="G57" s="16">
        <v>0</v>
      </c>
      <c r="H57" s="16"/>
      <c r="I57" s="16">
        <f>45321+10143</f>
        <v>55464</v>
      </c>
      <c r="J57" s="16"/>
      <c r="K57" s="16">
        <v>0</v>
      </c>
      <c r="L57" s="16"/>
      <c r="M57" s="16">
        <f>100+40154</f>
        <v>40254</v>
      </c>
      <c r="N57" s="16"/>
      <c r="O57" s="16">
        <v>0</v>
      </c>
      <c r="P57" s="16"/>
      <c r="Q57" s="16">
        <v>0</v>
      </c>
      <c r="R57" s="16"/>
      <c r="S57" s="16">
        <f>1303+1900</f>
        <v>3203</v>
      </c>
      <c r="T57" s="16"/>
      <c r="U57" s="16">
        <v>0</v>
      </c>
      <c r="V57" s="16"/>
      <c r="W57" s="16">
        <v>0</v>
      </c>
      <c r="X57" s="16"/>
      <c r="Y57" s="16">
        <v>0</v>
      </c>
      <c r="Z57" s="16"/>
      <c r="AA57" s="16">
        <v>0</v>
      </c>
      <c r="AB57" s="16"/>
      <c r="AC57" s="16">
        <v>0</v>
      </c>
      <c r="AD57" s="16"/>
      <c r="AE57" s="16">
        <f t="shared" si="1"/>
        <v>115269</v>
      </c>
    </row>
    <row r="58" spans="1:31" ht="12.75" customHeight="1">
      <c r="A58" s="1" t="s">
        <v>115</v>
      </c>
      <c r="B58" s="1"/>
      <c r="C58" s="1" t="s">
        <v>69</v>
      </c>
      <c r="D58" s="16"/>
      <c r="E58" s="16">
        <f>16908+4066</f>
        <v>20974</v>
      </c>
      <c r="F58" s="16"/>
      <c r="G58" s="16">
        <v>0</v>
      </c>
      <c r="H58" s="16"/>
      <c r="I58" s="16">
        <f>48846+29331</f>
        <v>78177</v>
      </c>
      <c r="J58" s="16"/>
      <c r="K58" s="16">
        <v>0</v>
      </c>
      <c r="L58" s="16"/>
      <c r="M58" s="16">
        <v>0</v>
      </c>
      <c r="N58" s="16"/>
      <c r="O58" s="16">
        <v>8846</v>
      </c>
      <c r="P58" s="16"/>
      <c r="Q58" s="16">
        <v>126</v>
      </c>
      <c r="R58" s="16"/>
      <c r="S58" s="16">
        <f>42613</f>
        <v>42613</v>
      </c>
      <c r="T58" s="16"/>
      <c r="U58" s="16">
        <v>0</v>
      </c>
      <c r="V58" s="16"/>
      <c r="W58" s="16">
        <v>0</v>
      </c>
      <c r="X58" s="16"/>
      <c r="Y58" s="16">
        <v>0</v>
      </c>
      <c r="Z58" s="16"/>
      <c r="AA58" s="16">
        <v>0</v>
      </c>
      <c r="AB58" s="16"/>
      <c r="AC58" s="16">
        <v>0</v>
      </c>
      <c r="AD58" s="16"/>
      <c r="AE58" s="16">
        <f t="shared" si="1"/>
        <v>150736</v>
      </c>
    </row>
    <row r="59" spans="1:31" ht="12.75" customHeight="1">
      <c r="A59" s="1" t="s">
        <v>626</v>
      </c>
      <c r="C59" s="1" t="s">
        <v>250</v>
      </c>
      <c r="E59" s="16">
        <v>20116</v>
      </c>
      <c r="F59" s="16"/>
      <c r="G59" s="16">
        <v>0</v>
      </c>
      <c r="H59" s="16"/>
      <c r="I59" s="16">
        <v>19734</v>
      </c>
      <c r="J59" s="16"/>
      <c r="K59" s="16">
        <v>0</v>
      </c>
      <c r="L59" s="16"/>
      <c r="M59" s="16">
        <v>20416</v>
      </c>
      <c r="N59" s="16"/>
      <c r="O59" s="16">
        <v>41912</v>
      </c>
      <c r="P59" s="16"/>
      <c r="Q59" s="16">
        <v>494</v>
      </c>
      <c r="R59" s="16"/>
      <c r="S59" s="16">
        <v>2745</v>
      </c>
      <c r="T59" s="16"/>
      <c r="U59" s="16">
        <v>0</v>
      </c>
      <c r="V59" s="16"/>
      <c r="W59" s="16">
        <v>0</v>
      </c>
      <c r="X59" s="16"/>
      <c r="Y59" s="16">
        <v>0</v>
      </c>
      <c r="Z59" s="16"/>
      <c r="AA59" s="16">
        <v>0</v>
      </c>
      <c r="AB59" s="16"/>
      <c r="AC59" s="16">
        <v>0</v>
      </c>
      <c r="AD59" s="16"/>
      <c r="AE59" s="16">
        <f t="shared" si="1"/>
        <v>105417</v>
      </c>
    </row>
    <row r="60" spans="1:31" ht="12.75" customHeight="1">
      <c r="A60" s="1" t="s">
        <v>528</v>
      </c>
      <c r="C60" s="1" t="s">
        <v>261</v>
      </c>
      <c r="E60" s="16">
        <v>128677</v>
      </c>
      <c r="F60" s="16"/>
      <c r="G60" s="16">
        <v>0</v>
      </c>
      <c r="H60" s="16"/>
      <c r="I60" s="16">
        <v>107666</v>
      </c>
      <c r="J60" s="16"/>
      <c r="K60" s="16">
        <v>0</v>
      </c>
      <c r="L60" s="16"/>
      <c r="M60" s="16">
        <v>0</v>
      </c>
      <c r="N60" s="16"/>
      <c r="O60" s="16">
        <v>4584</v>
      </c>
      <c r="P60" s="16"/>
      <c r="Q60" s="16">
        <v>3503</v>
      </c>
      <c r="R60" s="16"/>
      <c r="S60" s="16">
        <v>8609</v>
      </c>
      <c r="T60" s="16"/>
      <c r="U60" s="16">
        <v>0</v>
      </c>
      <c r="V60" s="16"/>
      <c r="W60" s="16">
        <v>0</v>
      </c>
      <c r="X60" s="16"/>
      <c r="Y60" s="16">
        <v>0</v>
      </c>
      <c r="Z60" s="16"/>
      <c r="AA60" s="16">
        <v>0</v>
      </c>
      <c r="AB60" s="16"/>
      <c r="AC60" s="16">
        <v>0</v>
      </c>
      <c r="AD60" s="16"/>
      <c r="AE60" s="16">
        <f t="shared" si="1"/>
        <v>253039</v>
      </c>
    </row>
    <row r="61" spans="1:31" ht="12.75" customHeight="1">
      <c r="A61" s="1" t="s">
        <v>116</v>
      </c>
      <c r="B61" s="1"/>
      <c r="C61" s="1" t="s">
        <v>102</v>
      </c>
      <c r="E61" s="16">
        <f>51792+95745</f>
        <v>147537</v>
      </c>
      <c r="F61" s="16"/>
      <c r="G61" s="16">
        <v>0</v>
      </c>
      <c r="H61" s="16"/>
      <c r="I61" s="16">
        <f>170061+11939</f>
        <v>182000</v>
      </c>
      <c r="J61" s="16"/>
      <c r="K61" s="16">
        <v>26766</v>
      </c>
      <c r="L61" s="16"/>
      <c r="M61" s="16">
        <f>154992+8770</f>
        <v>163762</v>
      </c>
      <c r="N61" s="16"/>
      <c r="O61" s="16">
        <f>45468+98289</f>
        <v>143757</v>
      </c>
      <c r="P61" s="16"/>
      <c r="Q61" s="16">
        <f>25857+3</f>
        <v>25860</v>
      </c>
      <c r="R61" s="16"/>
      <c r="S61" s="16">
        <f>2662+3030+18000+7252</f>
        <v>30944</v>
      </c>
      <c r="T61" s="16"/>
      <c r="U61" s="16">
        <v>15110</v>
      </c>
      <c r="V61" s="16"/>
      <c r="W61" s="16">
        <v>90000</v>
      </c>
      <c r="X61" s="16"/>
      <c r="Y61" s="16">
        <v>34500</v>
      </c>
      <c r="Z61" s="16"/>
      <c r="AA61" s="16">
        <v>0</v>
      </c>
      <c r="AB61" s="16"/>
      <c r="AC61" s="16">
        <v>0</v>
      </c>
      <c r="AD61" s="16"/>
      <c r="AE61" s="16">
        <f t="shared" si="1"/>
        <v>860236</v>
      </c>
    </row>
    <row r="62" spans="1:31" ht="12.75" customHeight="1">
      <c r="A62" s="1" t="s">
        <v>465</v>
      </c>
      <c r="B62" s="1"/>
      <c r="C62" s="1" t="s">
        <v>100</v>
      </c>
      <c r="E62" s="16">
        <v>98340</v>
      </c>
      <c r="F62" s="16"/>
      <c r="G62" s="16">
        <v>0</v>
      </c>
      <c r="H62" s="16"/>
      <c r="I62" s="16">
        <v>307582</v>
      </c>
      <c r="J62" s="16"/>
      <c r="K62" s="16">
        <v>19613</v>
      </c>
      <c r="L62" s="16"/>
      <c r="M62" s="16">
        <v>131230</v>
      </c>
      <c r="N62" s="16"/>
      <c r="O62" s="16">
        <v>6765</v>
      </c>
      <c r="P62" s="16"/>
      <c r="Q62" s="16">
        <v>6220</v>
      </c>
      <c r="R62" s="16"/>
      <c r="S62" s="16">
        <v>8096</v>
      </c>
      <c r="T62" s="16"/>
      <c r="U62" s="16">
        <v>0</v>
      </c>
      <c r="V62" s="16"/>
      <c r="W62" s="16">
        <v>10731</v>
      </c>
      <c r="X62" s="16"/>
      <c r="Y62" s="16">
        <v>34729</v>
      </c>
      <c r="Z62" s="16"/>
      <c r="AA62" s="16">
        <v>17500</v>
      </c>
      <c r="AB62" s="16"/>
      <c r="AC62" s="16">
        <v>0</v>
      </c>
      <c r="AD62" s="16"/>
      <c r="AE62" s="16">
        <f t="shared" si="1"/>
        <v>640806</v>
      </c>
    </row>
    <row r="63" spans="1:31" ht="12.75" customHeight="1">
      <c r="A63" s="1" t="s">
        <v>117</v>
      </c>
      <c r="B63" s="1"/>
      <c r="C63" s="1" t="s">
        <v>118</v>
      </c>
      <c r="D63" s="16"/>
      <c r="E63" s="16">
        <f>51236+17529</f>
        <v>68765</v>
      </c>
      <c r="F63" s="16"/>
      <c r="G63" s="16">
        <v>0</v>
      </c>
      <c r="H63" s="16"/>
      <c r="I63" s="16">
        <v>169211</v>
      </c>
      <c r="J63" s="16"/>
      <c r="K63" s="16">
        <v>43978</v>
      </c>
      <c r="L63" s="16"/>
      <c r="M63" s="16">
        <v>30480</v>
      </c>
      <c r="N63" s="16"/>
      <c r="O63" s="16">
        <v>44590</v>
      </c>
      <c r="P63" s="16"/>
      <c r="Q63" s="16">
        <v>68</v>
      </c>
      <c r="R63" s="16"/>
      <c r="S63" s="16">
        <v>27381</v>
      </c>
      <c r="T63" s="16"/>
      <c r="U63" s="16">
        <v>0</v>
      </c>
      <c r="V63" s="16"/>
      <c r="W63" s="16">
        <v>15110</v>
      </c>
      <c r="X63" s="16"/>
      <c r="Y63" s="16">
        <v>11000</v>
      </c>
      <c r="Z63" s="16"/>
      <c r="AA63" s="16">
        <v>0</v>
      </c>
      <c r="AB63" s="16"/>
      <c r="AC63" s="16">
        <v>235837</v>
      </c>
      <c r="AD63" s="16"/>
      <c r="AE63" s="16">
        <f t="shared" si="1"/>
        <v>646420</v>
      </c>
    </row>
    <row r="64" spans="1:31" ht="12.75" customHeight="1">
      <c r="A64" s="1" t="s">
        <v>119</v>
      </c>
      <c r="B64" s="1"/>
      <c r="C64" s="1" t="s">
        <v>120</v>
      </c>
      <c r="D64" s="16"/>
      <c r="E64" s="16">
        <v>46297</v>
      </c>
      <c r="F64" s="16"/>
      <c r="G64" s="16">
        <v>216729</v>
      </c>
      <c r="H64" s="16"/>
      <c r="I64" s="16">
        <v>67790</v>
      </c>
      <c r="J64" s="16"/>
      <c r="K64" s="16">
        <v>0</v>
      </c>
      <c r="L64" s="16"/>
      <c r="M64" s="16">
        <v>75039</v>
      </c>
      <c r="N64" s="16"/>
      <c r="O64" s="16">
        <v>3426</v>
      </c>
      <c r="P64" s="16"/>
      <c r="Q64" s="16">
        <v>2947</v>
      </c>
      <c r="R64" s="16"/>
      <c r="S64" s="16">
        <v>5584</v>
      </c>
      <c r="T64" s="16"/>
      <c r="U64" s="16">
        <v>0</v>
      </c>
      <c r="V64" s="16"/>
      <c r="W64" s="16">
        <v>0</v>
      </c>
      <c r="X64" s="16"/>
      <c r="Y64" s="16">
        <v>47099</v>
      </c>
      <c r="Z64" s="16"/>
      <c r="AA64" s="16">
        <v>0</v>
      </c>
      <c r="AB64" s="16"/>
      <c r="AC64" s="16">
        <v>0</v>
      </c>
      <c r="AD64" s="16"/>
      <c r="AE64" s="16">
        <f t="shared" si="1"/>
        <v>464911</v>
      </c>
    </row>
    <row r="65" spans="1:31" ht="12.75" customHeight="1">
      <c r="A65" s="1" t="s">
        <v>765</v>
      </c>
      <c r="C65" s="1" t="s">
        <v>190</v>
      </c>
      <c r="E65" s="16">
        <v>3600</v>
      </c>
      <c r="F65" s="16"/>
      <c r="G65" s="16">
        <v>0</v>
      </c>
      <c r="H65" s="16"/>
      <c r="I65" s="16">
        <v>28324</v>
      </c>
      <c r="J65" s="16"/>
      <c r="K65" s="16">
        <v>0</v>
      </c>
      <c r="L65" s="16"/>
      <c r="M65" s="16">
        <v>0</v>
      </c>
      <c r="N65" s="16"/>
      <c r="O65" s="16">
        <v>0</v>
      </c>
      <c r="P65" s="16"/>
      <c r="Q65" s="16">
        <v>3910</v>
      </c>
      <c r="R65" s="16"/>
      <c r="S65" s="16">
        <v>48059</v>
      </c>
      <c r="T65" s="16"/>
      <c r="U65" s="16">
        <v>0</v>
      </c>
      <c r="V65" s="16"/>
      <c r="W65" s="16">
        <v>0</v>
      </c>
      <c r="X65" s="16"/>
      <c r="Y65" s="16">
        <v>16000</v>
      </c>
      <c r="Z65" s="16"/>
      <c r="AA65" s="16">
        <v>0</v>
      </c>
      <c r="AB65" s="16"/>
      <c r="AC65" s="16">
        <v>0</v>
      </c>
      <c r="AD65" s="16"/>
      <c r="AE65" s="16">
        <f t="shared" si="1"/>
        <v>99893</v>
      </c>
    </row>
    <row r="66" spans="1:31" ht="12.75" customHeight="1">
      <c r="A66" s="1" t="s">
        <v>121</v>
      </c>
      <c r="B66" s="1"/>
      <c r="C66" s="1" t="s">
        <v>122</v>
      </c>
      <c r="D66" s="16"/>
      <c r="E66" s="16">
        <f>413713+168539</f>
        <v>582252</v>
      </c>
      <c r="F66" s="16"/>
      <c r="G66" s="16">
        <v>0</v>
      </c>
      <c r="H66" s="16"/>
      <c r="I66" s="16">
        <f>148763+132493+30475+21925</f>
        <v>333656</v>
      </c>
      <c r="J66" s="16"/>
      <c r="K66" s="16">
        <v>91724</v>
      </c>
      <c r="L66" s="16"/>
      <c r="M66" s="16">
        <v>4968</v>
      </c>
      <c r="N66" s="16"/>
      <c r="O66" s="16">
        <f>15270+26258</f>
        <v>41528</v>
      </c>
      <c r="P66" s="16"/>
      <c r="Q66" s="16">
        <f>57034+263</f>
        <v>57297</v>
      </c>
      <c r="R66" s="16"/>
      <c r="S66" s="16">
        <f>64942+31937</f>
        <v>96879</v>
      </c>
      <c r="T66" s="16"/>
      <c r="U66" s="16">
        <v>0</v>
      </c>
      <c r="V66" s="16"/>
      <c r="W66" s="16">
        <v>87009</v>
      </c>
      <c r="X66" s="16"/>
      <c r="Y66" s="16">
        <v>364475</v>
      </c>
      <c r="Z66" s="16"/>
      <c r="AA66" s="16">
        <v>0</v>
      </c>
      <c r="AB66" s="16"/>
      <c r="AC66" s="16">
        <v>2522</v>
      </c>
      <c r="AD66" s="16"/>
      <c r="AE66" s="16">
        <f t="shared" si="1"/>
        <v>1662310</v>
      </c>
    </row>
    <row r="67" spans="1:31" ht="12.75" customHeight="1">
      <c r="A67" s="1" t="s">
        <v>123</v>
      </c>
      <c r="B67" s="1"/>
      <c r="C67" s="1" t="s">
        <v>94</v>
      </c>
      <c r="D67" s="16"/>
      <c r="E67" s="16">
        <v>33723</v>
      </c>
      <c r="F67" s="16"/>
      <c r="G67" s="16">
        <v>89771</v>
      </c>
      <c r="H67" s="16"/>
      <c r="I67" s="16">
        <v>102741</v>
      </c>
      <c r="J67" s="16"/>
      <c r="K67" s="16">
        <v>0</v>
      </c>
      <c r="L67" s="16"/>
      <c r="M67" s="16">
        <v>29760</v>
      </c>
      <c r="N67" s="16"/>
      <c r="O67" s="16">
        <v>7329</v>
      </c>
      <c r="P67" s="16"/>
      <c r="Q67" s="16">
        <v>4445</v>
      </c>
      <c r="R67" s="16"/>
      <c r="S67" s="16">
        <v>5781</v>
      </c>
      <c r="T67" s="16"/>
      <c r="U67" s="16">
        <v>0</v>
      </c>
      <c r="V67" s="16"/>
      <c r="W67" s="16">
        <v>0</v>
      </c>
      <c r="X67" s="16"/>
      <c r="Y67" s="16">
        <v>40082</v>
      </c>
      <c r="Z67" s="16"/>
      <c r="AA67" s="16">
        <v>0</v>
      </c>
      <c r="AB67" s="16"/>
      <c r="AC67" s="16">
        <v>465</v>
      </c>
      <c r="AD67" s="16"/>
      <c r="AE67" s="16">
        <f t="shared" si="1"/>
        <v>314097</v>
      </c>
    </row>
    <row r="68" spans="1:31" ht="12.75" customHeight="1">
      <c r="A68" s="1" t="s">
        <v>537</v>
      </c>
      <c r="C68" s="1" t="s">
        <v>200</v>
      </c>
      <c r="E68" s="16">
        <v>58049</v>
      </c>
      <c r="F68" s="16"/>
      <c r="G68" s="16">
        <v>0</v>
      </c>
      <c r="H68" s="16"/>
      <c r="I68" s="16">
        <v>71117</v>
      </c>
      <c r="J68" s="16"/>
      <c r="K68" s="16">
        <v>12055</v>
      </c>
      <c r="L68" s="16"/>
      <c r="M68" s="16">
        <v>4204</v>
      </c>
      <c r="N68" s="16"/>
      <c r="O68" s="16">
        <v>3535</v>
      </c>
      <c r="P68" s="16"/>
      <c r="Q68" s="16">
        <v>2465</v>
      </c>
      <c r="R68" s="16"/>
      <c r="S68" s="16">
        <v>2510</v>
      </c>
      <c r="T68" s="16"/>
      <c r="U68" s="16">
        <v>0</v>
      </c>
      <c r="V68" s="16"/>
      <c r="W68" s="16">
        <v>0</v>
      </c>
      <c r="X68" s="16"/>
      <c r="Y68" s="16">
        <v>0</v>
      </c>
      <c r="Z68" s="16"/>
      <c r="AA68" s="16">
        <v>0</v>
      </c>
      <c r="AB68" s="16"/>
      <c r="AC68" s="16">
        <v>0</v>
      </c>
      <c r="AD68" s="16"/>
      <c r="AE68" s="16">
        <f t="shared" si="1"/>
        <v>153935</v>
      </c>
    </row>
    <row r="69" spans="1:31" ht="12.75" customHeight="1">
      <c r="A69" s="1" t="s">
        <v>597</v>
      </c>
      <c r="C69" s="1" t="s">
        <v>69</v>
      </c>
      <c r="E69" s="16">
        <v>9770</v>
      </c>
      <c r="F69" s="16"/>
      <c r="G69" s="16">
        <v>0</v>
      </c>
      <c r="H69" s="16"/>
      <c r="I69" s="16">
        <v>51018</v>
      </c>
      <c r="J69" s="16"/>
      <c r="K69" s="16">
        <v>0</v>
      </c>
      <c r="L69" s="16"/>
      <c r="M69" s="16">
        <v>0</v>
      </c>
      <c r="N69" s="16"/>
      <c r="O69" s="16">
        <v>960</v>
      </c>
      <c r="P69" s="16"/>
      <c r="Q69" s="16">
        <v>8</v>
      </c>
      <c r="R69" s="16"/>
      <c r="S69" s="16">
        <v>19583</v>
      </c>
      <c r="T69" s="16"/>
      <c r="U69" s="16">
        <v>0</v>
      </c>
      <c r="V69" s="16"/>
      <c r="W69" s="16">
        <v>0</v>
      </c>
      <c r="X69" s="16"/>
      <c r="Y69" s="16">
        <v>0</v>
      </c>
      <c r="Z69" s="16"/>
      <c r="AA69" s="16">
        <v>0</v>
      </c>
      <c r="AB69" s="16"/>
      <c r="AC69" s="16">
        <v>0</v>
      </c>
      <c r="AD69" s="16"/>
      <c r="AE69" s="16">
        <f t="shared" si="1"/>
        <v>81339</v>
      </c>
    </row>
    <row r="70" spans="1:31" ht="12.75" customHeight="1">
      <c r="A70" s="1" t="s">
        <v>124</v>
      </c>
      <c r="B70" s="1"/>
      <c r="C70" s="1" t="s">
        <v>118</v>
      </c>
      <c r="D70" s="16"/>
      <c r="E70" s="16">
        <v>32350</v>
      </c>
      <c r="F70" s="16"/>
      <c r="G70" s="16">
        <v>0</v>
      </c>
      <c r="H70" s="16"/>
      <c r="I70" s="16">
        <v>122171</v>
      </c>
      <c r="J70" s="16"/>
      <c r="K70" s="16">
        <v>0</v>
      </c>
      <c r="L70" s="16"/>
      <c r="M70" s="16">
        <v>10</v>
      </c>
      <c r="N70" s="16"/>
      <c r="O70" s="16">
        <v>3961</v>
      </c>
      <c r="P70" s="16"/>
      <c r="Q70" s="16">
        <v>1797</v>
      </c>
      <c r="R70" s="16"/>
      <c r="S70" s="16">
        <v>15531</v>
      </c>
      <c r="T70" s="16"/>
      <c r="U70" s="16">
        <v>0</v>
      </c>
      <c r="V70" s="16"/>
      <c r="W70" s="16">
        <v>500</v>
      </c>
      <c r="X70" s="16"/>
      <c r="Y70" s="16">
        <v>0</v>
      </c>
      <c r="Z70" s="16"/>
      <c r="AA70" s="16">
        <v>0</v>
      </c>
      <c r="AB70" s="16"/>
      <c r="AC70" s="16">
        <v>0</v>
      </c>
      <c r="AD70" s="16"/>
      <c r="AE70" s="16">
        <f t="shared" si="1"/>
        <v>176320</v>
      </c>
    </row>
    <row r="71" spans="1:31" ht="12.75" customHeight="1">
      <c r="A71" s="1" t="s">
        <v>125</v>
      </c>
      <c r="B71" s="1"/>
      <c r="C71" s="1" t="s">
        <v>126</v>
      </c>
      <c r="E71" s="16">
        <v>1651469</v>
      </c>
      <c r="F71" s="16"/>
      <c r="G71" s="16">
        <v>0</v>
      </c>
      <c r="H71" s="16"/>
      <c r="I71" s="16">
        <v>809526</v>
      </c>
      <c r="J71" s="16"/>
      <c r="K71" s="16">
        <v>4285</v>
      </c>
      <c r="L71" s="16"/>
      <c r="M71" s="16">
        <v>169794</v>
      </c>
      <c r="N71" s="16"/>
      <c r="O71" s="16">
        <v>14282</v>
      </c>
      <c r="P71" s="16"/>
      <c r="Q71" s="16">
        <v>0</v>
      </c>
      <c r="R71" s="16"/>
      <c r="S71" s="16">
        <v>68990</v>
      </c>
      <c r="T71" s="16"/>
      <c r="U71" s="16">
        <v>0</v>
      </c>
      <c r="V71" s="16"/>
      <c r="W71" s="16">
        <v>0</v>
      </c>
      <c r="X71" s="16"/>
      <c r="Y71" s="16">
        <v>667746</v>
      </c>
      <c r="Z71" s="16"/>
      <c r="AA71" s="16">
        <v>0</v>
      </c>
      <c r="AB71" s="16"/>
      <c r="AC71" s="16">
        <v>0</v>
      </c>
      <c r="AD71" s="16"/>
      <c r="AE71" s="16">
        <f t="shared" si="1"/>
        <v>3386092</v>
      </c>
    </row>
    <row r="72" spans="1:31" ht="12.75" customHeight="1">
      <c r="A72" s="1" t="s">
        <v>784</v>
      </c>
      <c r="B72" s="1"/>
      <c r="E72" s="1"/>
      <c r="F72" s="1"/>
      <c r="G72" s="1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20"/>
      <c r="AC72" s="16"/>
      <c r="AD72" s="20"/>
      <c r="AE72" s="32" t="s">
        <v>785</v>
      </c>
    </row>
    <row r="73" spans="1:31" s="36" customFormat="1" ht="12.75" customHeight="1">
      <c r="A73" s="36" t="s">
        <v>127</v>
      </c>
      <c r="C73" s="36" t="s">
        <v>96</v>
      </c>
      <c r="E73" s="36">
        <v>227946</v>
      </c>
      <c r="G73" s="36">
        <v>0</v>
      </c>
      <c r="I73" s="36">
        <v>91766</v>
      </c>
      <c r="K73" s="36">
        <v>0</v>
      </c>
      <c r="M73" s="36">
        <v>49693</v>
      </c>
      <c r="O73" s="36">
        <v>6957</v>
      </c>
      <c r="Q73" s="36">
        <v>3699</v>
      </c>
      <c r="S73" s="36">
        <v>802</v>
      </c>
      <c r="U73" s="36">
        <v>0</v>
      </c>
      <c r="W73" s="36">
        <v>0</v>
      </c>
      <c r="Y73" s="36">
        <v>116223</v>
      </c>
      <c r="AA73" s="36">
        <v>0</v>
      </c>
      <c r="AC73" s="36">
        <v>0</v>
      </c>
      <c r="AE73" s="36">
        <f aca="true" t="shared" si="2" ref="AE73:AE104">SUM(E73:AC73)</f>
        <v>497086</v>
      </c>
    </row>
    <row r="74" spans="1:31" ht="12.75" customHeight="1">
      <c r="A74" s="1" t="s">
        <v>128</v>
      </c>
      <c r="B74" s="1"/>
      <c r="C74" s="1" t="s">
        <v>129</v>
      </c>
      <c r="D74" s="16"/>
      <c r="E74" s="16">
        <v>515648</v>
      </c>
      <c r="F74" s="16"/>
      <c r="G74" s="16">
        <v>387320</v>
      </c>
      <c r="H74" s="16"/>
      <c r="I74" s="16">
        <v>260551</v>
      </c>
      <c r="J74" s="16"/>
      <c r="K74" s="16">
        <v>0</v>
      </c>
      <c r="L74" s="16"/>
      <c r="M74" s="16">
        <v>14138</v>
      </c>
      <c r="N74" s="16"/>
      <c r="O74" s="16">
        <v>401527</v>
      </c>
      <c r="P74" s="16"/>
      <c r="Q74" s="16">
        <v>5132</v>
      </c>
      <c r="R74" s="16"/>
      <c r="S74" s="16">
        <v>41963</v>
      </c>
      <c r="T74" s="16"/>
      <c r="U74" s="16">
        <v>100000</v>
      </c>
      <c r="V74" s="16"/>
      <c r="W74" s="16">
        <v>0</v>
      </c>
      <c r="X74" s="16"/>
      <c r="Y74" s="16">
        <v>0</v>
      </c>
      <c r="Z74" s="16"/>
      <c r="AA74" s="16">
        <v>0</v>
      </c>
      <c r="AB74" s="16"/>
      <c r="AC74" s="16">
        <v>0</v>
      </c>
      <c r="AD74" s="16"/>
      <c r="AE74" s="16">
        <f t="shared" si="2"/>
        <v>1726279</v>
      </c>
    </row>
    <row r="75" spans="1:31" ht="12.75" customHeight="1">
      <c r="A75" s="1" t="s">
        <v>130</v>
      </c>
      <c r="B75" s="1"/>
      <c r="C75" s="1" t="s">
        <v>131</v>
      </c>
      <c r="D75" s="16"/>
      <c r="E75" s="16">
        <v>54584</v>
      </c>
      <c r="F75" s="16"/>
      <c r="G75" s="16">
        <f>262376+214673</f>
        <v>477049</v>
      </c>
      <c r="H75" s="16"/>
      <c r="I75" s="16">
        <f>148795+569486+200000</f>
        <v>918281</v>
      </c>
      <c r="J75" s="16"/>
      <c r="K75" s="16">
        <f>4201+64642+6183</f>
        <v>75026</v>
      </c>
      <c r="L75" s="16"/>
      <c r="M75" s="16">
        <v>32402</v>
      </c>
      <c r="N75" s="16"/>
      <c r="O75" s="16">
        <f>2603+542</f>
        <v>3145</v>
      </c>
      <c r="P75" s="16"/>
      <c r="Q75" s="16">
        <f>4028+1135</f>
        <v>5163</v>
      </c>
      <c r="R75" s="16"/>
      <c r="S75" s="16">
        <v>0</v>
      </c>
      <c r="T75" s="16"/>
      <c r="U75" s="16">
        <v>0</v>
      </c>
      <c r="V75" s="16"/>
      <c r="W75" s="16">
        <v>515</v>
      </c>
      <c r="X75" s="16"/>
      <c r="Y75" s="16">
        <v>2534</v>
      </c>
      <c r="Z75" s="16"/>
      <c r="AA75" s="16">
        <v>69778</v>
      </c>
      <c r="AB75" s="16"/>
      <c r="AC75" s="16">
        <v>0</v>
      </c>
      <c r="AD75" s="16"/>
      <c r="AE75" s="16">
        <f t="shared" si="2"/>
        <v>1638477</v>
      </c>
    </row>
    <row r="76" spans="1:31" ht="12.75" customHeight="1">
      <c r="A76" s="1" t="s">
        <v>132</v>
      </c>
      <c r="B76" s="1"/>
      <c r="C76" s="1" t="s">
        <v>133</v>
      </c>
      <c r="D76" s="16"/>
      <c r="E76" s="16">
        <v>37951</v>
      </c>
      <c r="F76" s="16"/>
      <c r="G76" s="16">
        <v>73953</v>
      </c>
      <c r="H76" s="16"/>
      <c r="I76" s="16">
        <v>39450</v>
      </c>
      <c r="J76" s="16"/>
      <c r="K76" s="16">
        <v>0</v>
      </c>
      <c r="L76" s="16"/>
      <c r="M76" s="16">
        <v>1150</v>
      </c>
      <c r="N76" s="16"/>
      <c r="O76" s="16">
        <v>4382</v>
      </c>
      <c r="P76" s="16"/>
      <c r="Q76" s="16">
        <v>3833</v>
      </c>
      <c r="R76" s="16"/>
      <c r="S76" s="16">
        <v>14795</v>
      </c>
      <c r="T76" s="16"/>
      <c r="U76" s="16">
        <v>0</v>
      </c>
      <c r="V76" s="16"/>
      <c r="W76" s="16">
        <v>0</v>
      </c>
      <c r="X76" s="16"/>
      <c r="Y76" s="16">
        <v>43563</v>
      </c>
      <c r="Z76" s="16"/>
      <c r="AA76" s="16">
        <v>0</v>
      </c>
      <c r="AB76" s="16"/>
      <c r="AC76" s="16">
        <v>0</v>
      </c>
      <c r="AD76" s="16"/>
      <c r="AE76" s="16">
        <f t="shared" si="2"/>
        <v>219077</v>
      </c>
    </row>
    <row r="77" spans="1:31" ht="12.75" customHeight="1">
      <c r="A77" s="1" t="s">
        <v>554</v>
      </c>
      <c r="C77" s="1" t="s">
        <v>157</v>
      </c>
      <c r="E77" s="16">
        <v>27469</v>
      </c>
      <c r="F77" s="16"/>
      <c r="G77" s="16">
        <v>0</v>
      </c>
      <c r="H77" s="16"/>
      <c r="I77" s="16">
        <v>20959</v>
      </c>
      <c r="J77" s="16"/>
      <c r="K77" s="16">
        <v>0</v>
      </c>
      <c r="L77" s="16"/>
      <c r="M77" s="16">
        <v>50</v>
      </c>
      <c r="N77" s="16"/>
      <c r="O77" s="16">
        <v>348</v>
      </c>
      <c r="P77" s="16"/>
      <c r="Q77" s="16">
        <v>82</v>
      </c>
      <c r="R77" s="16"/>
      <c r="S77" s="16">
        <v>330</v>
      </c>
      <c r="T77" s="16"/>
      <c r="U77" s="16">
        <v>0</v>
      </c>
      <c r="V77" s="16"/>
      <c r="W77" s="16">
        <v>0</v>
      </c>
      <c r="X77" s="16"/>
      <c r="Y77" s="16">
        <v>0</v>
      </c>
      <c r="Z77" s="16"/>
      <c r="AA77" s="16">
        <v>3070</v>
      </c>
      <c r="AB77" s="16"/>
      <c r="AC77" s="16">
        <v>0</v>
      </c>
      <c r="AD77" s="16"/>
      <c r="AE77" s="16">
        <f t="shared" si="2"/>
        <v>52308</v>
      </c>
    </row>
    <row r="78" spans="1:31" ht="12.75" customHeight="1">
      <c r="A78" s="1" t="s">
        <v>134</v>
      </c>
      <c r="B78" s="1"/>
      <c r="C78" s="1" t="s">
        <v>442</v>
      </c>
      <c r="D78" s="16"/>
      <c r="E78" s="16">
        <v>148522</v>
      </c>
      <c r="F78" s="16"/>
      <c r="G78" s="16">
        <v>126780</v>
      </c>
      <c r="H78" s="16"/>
      <c r="I78" s="16">
        <v>199680</v>
      </c>
      <c r="J78" s="16"/>
      <c r="K78" s="16">
        <v>19161</v>
      </c>
      <c r="L78" s="16"/>
      <c r="M78" s="16">
        <v>330</v>
      </c>
      <c r="N78" s="16"/>
      <c r="O78" s="16">
        <v>15516</v>
      </c>
      <c r="P78" s="16"/>
      <c r="Q78" s="16">
        <v>6867</v>
      </c>
      <c r="R78" s="16"/>
      <c r="S78" s="16">
        <v>18417</v>
      </c>
      <c r="T78" s="16"/>
      <c r="U78" s="16">
        <v>0</v>
      </c>
      <c r="V78" s="16"/>
      <c r="W78" s="16">
        <v>44725</v>
      </c>
      <c r="X78" s="16"/>
      <c r="Y78" s="16">
        <v>0</v>
      </c>
      <c r="Z78" s="16"/>
      <c r="AA78" s="16">
        <v>0</v>
      </c>
      <c r="AB78" s="16"/>
      <c r="AC78" s="16">
        <v>90821</v>
      </c>
      <c r="AD78" s="16"/>
      <c r="AE78" s="16">
        <f t="shared" si="2"/>
        <v>670819</v>
      </c>
    </row>
    <row r="79" spans="1:31" ht="12.75" customHeight="1">
      <c r="A79" s="1" t="s">
        <v>135</v>
      </c>
      <c r="B79" s="1"/>
      <c r="C79" s="1" t="s">
        <v>94</v>
      </c>
      <c r="D79" s="16"/>
      <c r="E79" s="16">
        <v>66024</v>
      </c>
      <c r="F79" s="16"/>
      <c r="G79" s="16">
        <v>122759</v>
      </c>
      <c r="H79" s="16"/>
      <c r="I79" s="16">
        <v>143314</v>
      </c>
      <c r="J79" s="16"/>
      <c r="K79" s="16">
        <v>18067</v>
      </c>
      <c r="L79" s="16"/>
      <c r="M79" s="16">
        <v>34725</v>
      </c>
      <c r="N79" s="16"/>
      <c r="O79" s="16">
        <v>32493</v>
      </c>
      <c r="P79" s="16"/>
      <c r="Q79" s="16">
        <v>17131</v>
      </c>
      <c r="R79" s="16"/>
      <c r="S79" s="16">
        <v>11444</v>
      </c>
      <c r="T79" s="16"/>
      <c r="U79" s="16">
        <v>0</v>
      </c>
      <c r="V79" s="16"/>
      <c r="W79" s="16">
        <v>0</v>
      </c>
      <c r="X79" s="16"/>
      <c r="Y79" s="16">
        <v>258278</v>
      </c>
      <c r="Z79" s="16"/>
      <c r="AA79" s="16">
        <v>0</v>
      </c>
      <c r="AB79" s="16"/>
      <c r="AC79" s="16">
        <v>0</v>
      </c>
      <c r="AD79" s="16"/>
      <c r="AE79" s="16">
        <f t="shared" si="2"/>
        <v>704235</v>
      </c>
    </row>
    <row r="80" spans="1:31" ht="12.75" customHeight="1">
      <c r="A80" s="1" t="s">
        <v>136</v>
      </c>
      <c r="B80" s="1"/>
      <c r="C80" s="1" t="s">
        <v>137</v>
      </c>
      <c r="D80" s="16"/>
      <c r="E80" s="16">
        <f>38901</f>
        <v>38901</v>
      </c>
      <c r="F80" s="16"/>
      <c r="G80" s="16">
        <v>22591</v>
      </c>
      <c r="H80" s="16"/>
      <c r="I80" s="16">
        <f>132527</f>
        <v>132527</v>
      </c>
      <c r="J80" s="16"/>
      <c r="K80" s="16">
        <v>17349</v>
      </c>
      <c r="L80" s="16"/>
      <c r="M80" s="16">
        <v>0</v>
      </c>
      <c r="N80" s="16"/>
      <c r="O80" s="16">
        <f>466531+13244</f>
        <v>479775</v>
      </c>
      <c r="P80" s="16"/>
      <c r="Q80" s="16">
        <v>84</v>
      </c>
      <c r="R80" s="16"/>
      <c r="S80" s="16">
        <f>1363+2787</f>
        <v>4150</v>
      </c>
      <c r="T80" s="16"/>
      <c r="U80" s="16">
        <v>0</v>
      </c>
      <c r="V80" s="16"/>
      <c r="W80" s="16">
        <v>0</v>
      </c>
      <c r="X80" s="16"/>
      <c r="Y80" s="16">
        <v>1691</v>
      </c>
      <c r="Z80" s="16"/>
      <c r="AA80" s="16">
        <v>0</v>
      </c>
      <c r="AB80" s="16"/>
      <c r="AC80" s="16">
        <v>5092</v>
      </c>
      <c r="AD80" s="16"/>
      <c r="AE80" s="16">
        <f t="shared" si="2"/>
        <v>702160</v>
      </c>
    </row>
    <row r="81" spans="1:31" ht="12.75" customHeight="1">
      <c r="A81" s="1" t="s">
        <v>515</v>
      </c>
      <c r="C81" s="1" t="s">
        <v>112</v>
      </c>
      <c r="E81" s="16">
        <v>1003328</v>
      </c>
      <c r="F81" s="16"/>
      <c r="G81" s="16">
        <v>1184445</v>
      </c>
      <c r="H81" s="16"/>
      <c r="I81" s="16">
        <v>199229</v>
      </c>
      <c r="J81" s="16"/>
      <c r="K81" s="16">
        <v>0</v>
      </c>
      <c r="L81" s="16"/>
      <c r="M81" s="16">
        <v>17309</v>
      </c>
      <c r="N81" s="16"/>
      <c r="O81" s="16">
        <v>413604</v>
      </c>
      <c r="P81" s="16"/>
      <c r="Q81" s="16">
        <v>11188</v>
      </c>
      <c r="R81" s="16"/>
      <c r="S81" s="16">
        <v>61150</v>
      </c>
      <c r="T81" s="16"/>
      <c r="U81" s="16">
        <v>0</v>
      </c>
      <c r="V81" s="16"/>
      <c r="W81" s="16">
        <v>0</v>
      </c>
      <c r="X81" s="16"/>
      <c r="Y81" s="16">
        <v>311668</v>
      </c>
      <c r="Z81" s="16"/>
      <c r="AA81" s="16">
        <v>0</v>
      </c>
      <c r="AB81" s="16"/>
      <c r="AC81" s="16">
        <v>0</v>
      </c>
      <c r="AD81" s="16"/>
      <c r="AE81" s="16">
        <f t="shared" si="2"/>
        <v>3201921</v>
      </c>
    </row>
    <row r="82" spans="1:31" ht="12.75" customHeight="1">
      <c r="A82" s="1" t="s">
        <v>531</v>
      </c>
      <c r="C82" s="1" t="s">
        <v>98</v>
      </c>
      <c r="E82" s="16">
        <v>36249</v>
      </c>
      <c r="F82" s="16"/>
      <c r="G82" s="16">
        <v>208424</v>
      </c>
      <c r="H82" s="16"/>
      <c r="I82" s="16">
        <v>88809</v>
      </c>
      <c r="J82" s="16"/>
      <c r="K82" s="16">
        <v>0</v>
      </c>
      <c r="L82" s="16"/>
      <c r="M82" s="16">
        <v>0</v>
      </c>
      <c r="N82" s="16"/>
      <c r="O82" s="16">
        <v>7628</v>
      </c>
      <c r="P82" s="16"/>
      <c r="Q82" s="16">
        <v>2678</v>
      </c>
      <c r="R82" s="16"/>
      <c r="S82" s="16">
        <v>12381</v>
      </c>
      <c r="T82" s="16"/>
      <c r="U82" s="16">
        <v>0</v>
      </c>
      <c r="V82" s="16"/>
      <c r="W82" s="16">
        <v>0</v>
      </c>
      <c r="X82" s="16"/>
      <c r="Y82" s="16">
        <v>178565</v>
      </c>
      <c r="Z82" s="16"/>
      <c r="AA82" s="16">
        <v>0</v>
      </c>
      <c r="AB82" s="16"/>
      <c r="AC82" s="16">
        <v>0</v>
      </c>
      <c r="AD82" s="16"/>
      <c r="AE82" s="16">
        <f t="shared" si="2"/>
        <v>534734</v>
      </c>
    </row>
    <row r="83" spans="1:31" ht="12.75" customHeight="1">
      <c r="A83" s="1" t="s">
        <v>138</v>
      </c>
      <c r="B83" s="1"/>
      <c r="C83" s="1" t="s">
        <v>106</v>
      </c>
      <c r="D83" s="16"/>
      <c r="E83" s="16">
        <v>187902</v>
      </c>
      <c r="F83" s="16"/>
      <c r="G83" s="16">
        <v>0</v>
      </c>
      <c r="H83" s="16"/>
      <c r="I83" s="16">
        <v>258220</v>
      </c>
      <c r="J83" s="16"/>
      <c r="K83" s="16">
        <v>3489</v>
      </c>
      <c r="L83" s="16"/>
      <c r="M83" s="16">
        <v>97928</v>
      </c>
      <c r="N83" s="16"/>
      <c r="O83" s="16">
        <v>4449</v>
      </c>
      <c r="P83" s="16"/>
      <c r="Q83" s="16">
        <v>14816</v>
      </c>
      <c r="R83" s="16"/>
      <c r="S83" s="16">
        <v>8382</v>
      </c>
      <c r="T83" s="16"/>
      <c r="U83" s="16">
        <v>0</v>
      </c>
      <c r="V83" s="16"/>
      <c r="W83" s="16">
        <v>0</v>
      </c>
      <c r="X83" s="16"/>
      <c r="Y83" s="16">
        <v>669700</v>
      </c>
      <c r="Z83" s="16"/>
      <c r="AA83" s="16">
        <v>0</v>
      </c>
      <c r="AB83" s="16"/>
      <c r="AC83" s="16">
        <v>0</v>
      </c>
      <c r="AD83" s="16"/>
      <c r="AE83" s="16">
        <f t="shared" si="2"/>
        <v>1244886</v>
      </c>
    </row>
    <row r="84" spans="1:31" ht="12.75" customHeight="1">
      <c r="A84" s="1" t="s">
        <v>541</v>
      </c>
      <c r="C84" s="1" t="s">
        <v>149</v>
      </c>
      <c r="E84" s="16">
        <v>21282</v>
      </c>
      <c r="F84" s="16"/>
      <c r="G84" s="16">
        <v>27229</v>
      </c>
      <c r="H84" s="16"/>
      <c r="I84" s="16">
        <v>27046</v>
      </c>
      <c r="J84" s="16"/>
      <c r="K84" s="16">
        <v>0</v>
      </c>
      <c r="L84" s="16"/>
      <c r="M84" s="16">
        <v>0</v>
      </c>
      <c r="N84" s="16"/>
      <c r="O84" s="16">
        <v>31240</v>
      </c>
      <c r="P84" s="16"/>
      <c r="Q84" s="16">
        <v>1005</v>
      </c>
      <c r="R84" s="16"/>
      <c r="S84" s="16">
        <v>6133</v>
      </c>
      <c r="T84" s="16"/>
      <c r="U84" s="16">
        <v>0</v>
      </c>
      <c r="V84" s="16"/>
      <c r="W84" s="16">
        <v>0</v>
      </c>
      <c r="X84" s="16"/>
      <c r="Y84" s="16">
        <v>0</v>
      </c>
      <c r="Z84" s="16"/>
      <c r="AA84" s="16">
        <v>0</v>
      </c>
      <c r="AB84" s="16"/>
      <c r="AC84" s="16">
        <v>0</v>
      </c>
      <c r="AD84" s="16"/>
      <c r="AE84" s="16">
        <f t="shared" si="2"/>
        <v>113935</v>
      </c>
    </row>
    <row r="85" spans="1:31" ht="12.75" customHeight="1">
      <c r="A85" s="1" t="s">
        <v>139</v>
      </c>
      <c r="B85" s="1"/>
      <c r="C85" s="1" t="s">
        <v>112</v>
      </c>
      <c r="D85" s="16"/>
      <c r="E85" s="16">
        <v>418039</v>
      </c>
      <c r="F85" s="16"/>
      <c r="G85" s="16">
        <v>4108082</v>
      </c>
      <c r="H85" s="16"/>
      <c r="I85" s="16">
        <v>516703</v>
      </c>
      <c r="J85" s="16"/>
      <c r="K85" s="16">
        <v>181508</v>
      </c>
      <c r="L85" s="16"/>
      <c r="M85" s="16">
        <v>55192</v>
      </c>
      <c r="N85" s="16"/>
      <c r="O85" s="16">
        <v>141747</v>
      </c>
      <c r="P85" s="16"/>
      <c r="Q85" s="16">
        <v>84657</v>
      </c>
      <c r="R85" s="16"/>
      <c r="S85" s="16">
        <v>4717</v>
      </c>
      <c r="T85" s="16"/>
      <c r="U85" s="16">
        <v>0</v>
      </c>
      <c r="V85" s="16"/>
      <c r="W85" s="16">
        <v>0</v>
      </c>
      <c r="X85" s="16"/>
      <c r="Y85" s="16">
        <v>2339</v>
      </c>
      <c r="Z85" s="16"/>
      <c r="AA85" s="16">
        <v>363110</v>
      </c>
      <c r="AB85" s="16"/>
      <c r="AC85" s="16">
        <v>15798</v>
      </c>
      <c r="AD85" s="16"/>
      <c r="AE85" s="16">
        <f t="shared" si="2"/>
        <v>5891892</v>
      </c>
    </row>
    <row r="86" spans="1:31" ht="12.75" customHeight="1">
      <c r="A86" s="1" t="s">
        <v>466</v>
      </c>
      <c r="B86" s="1"/>
      <c r="C86" s="1" t="s">
        <v>100</v>
      </c>
      <c r="E86" s="16">
        <v>61287</v>
      </c>
      <c r="F86" s="16"/>
      <c r="G86" s="16">
        <v>0</v>
      </c>
      <c r="H86" s="16"/>
      <c r="I86" s="16">
        <v>186485</v>
      </c>
      <c r="J86" s="16"/>
      <c r="K86" s="16">
        <v>0</v>
      </c>
      <c r="L86" s="16"/>
      <c r="M86" s="16">
        <v>14309</v>
      </c>
      <c r="N86" s="16"/>
      <c r="O86" s="16">
        <v>4765</v>
      </c>
      <c r="P86" s="16"/>
      <c r="Q86" s="16">
        <v>1926</v>
      </c>
      <c r="R86" s="16"/>
      <c r="S86" s="16">
        <v>29731</v>
      </c>
      <c r="T86" s="16"/>
      <c r="U86" s="16">
        <v>33740</v>
      </c>
      <c r="V86" s="16"/>
      <c r="W86" s="16">
        <v>0</v>
      </c>
      <c r="X86" s="16"/>
      <c r="Y86" s="16">
        <v>8951</v>
      </c>
      <c r="Z86" s="16"/>
      <c r="AA86" s="16">
        <v>9761</v>
      </c>
      <c r="AB86" s="16"/>
      <c r="AC86" s="16">
        <v>0</v>
      </c>
      <c r="AD86" s="16"/>
      <c r="AE86" s="16">
        <f t="shared" si="2"/>
        <v>350955</v>
      </c>
    </row>
    <row r="87" spans="1:31" ht="12.75" customHeight="1">
      <c r="A87" s="1" t="s">
        <v>677</v>
      </c>
      <c r="C87" s="1" t="s">
        <v>82</v>
      </c>
      <c r="E87" s="16">
        <v>3112</v>
      </c>
      <c r="F87" s="16"/>
      <c r="G87" s="16">
        <v>0</v>
      </c>
      <c r="H87" s="16"/>
      <c r="I87" s="16">
        <v>13168</v>
      </c>
      <c r="J87" s="16"/>
      <c r="K87" s="16">
        <v>0</v>
      </c>
      <c r="L87" s="16"/>
      <c r="M87" s="16">
        <v>0</v>
      </c>
      <c r="N87" s="16"/>
      <c r="O87" s="16">
        <v>0</v>
      </c>
      <c r="P87" s="16"/>
      <c r="Q87" s="16">
        <v>63</v>
      </c>
      <c r="R87" s="16"/>
      <c r="S87" s="16">
        <v>27898</v>
      </c>
      <c r="T87" s="16"/>
      <c r="U87" s="16">
        <v>0</v>
      </c>
      <c r="V87" s="16"/>
      <c r="W87" s="16">
        <v>0</v>
      </c>
      <c r="X87" s="16"/>
      <c r="Y87" s="16">
        <v>0</v>
      </c>
      <c r="Z87" s="16"/>
      <c r="AA87" s="16">
        <v>0</v>
      </c>
      <c r="AB87" s="16"/>
      <c r="AC87" s="16">
        <v>0</v>
      </c>
      <c r="AD87" s="16"/>
      <c r="AE87" s="16">
        <f t="shared" si="2"/>
        <v>44241</v>
      </c>
    </row>
    <row r="88" spans="1:31" ht="12.75" customHeight="1">
      <c r="A88" s="1" t="s">
        <v>140</v>
      </c>
      <c r="B88" s="1"/>
      <c r="C88" s="1" t="s">
        <v>71</v>
      </c>
      <c r="E88" s="16">
        <v>57707</v>
      </c>
      <c r="F88" s="16"/>
      <c r="G88" s="16">
        <v>0</v>
      </c>
      <c r="H88" s="16"/>
      <c r="I88" s="16">
        <v>14759</v>
      </c>
      <c r="J88" s="16"/>
      <c r="K88" s="16">
        <v>0</v>
      </c>
      <c r="L88" s="16"/>
      <c r="M88" s="16">
        <v>0</v>
      </c>
      <c r="N88" s="16"/>
      <c r="O88" s="16">
        <v>29030</v>
      </c>
      <c r="P88" s="16"/>
      <c r="Q88" s="16">
        <v>355</v>
      </c>
      <c r="R88" s="16"/>
      <c r="S88" s="16">
        <v>5732</v>
      </c>
      <c r="T88" s="16"/>
      <c r="U88" s="16">
        <v>0</v>
      </c>
      <c r="V88" s="16"/>
      <c r="W88" s="16">
        <v>0</v>
      </c>
      <c r="X88" s="16"/>
      <c r="Y88" s="16">
        <v>0</v>
      </c>
      <c r="Z88" s="16"/>
      <c r="AA88" s="16">
        <v>0</v>
      </c>
      <c r="AB88" s="16"/>
      <c r="AC88" s="16">
        <v>0</v>
      </c>
      <c r="AD88" s="16"/>
      <c r="AE88" s="16">
        <f t="shared" si="2"/>
        <v>107583</v>
      </c>
    </row>
    <row r="89" spans="1:31" ht="12.75" customHeight="1">
      <c r="A89" s="1" t="s">
        <v>613</v>
      </c>
      <c r="C89" s="1" t="s">
        <v>231</v>
      </c>
      <c r="E89" s="16">
        <v>449807</v>
      </c>
      <c r="F89" s="16"/>
      <c r="G89" s="16">
        <v>0</v>
      </c>
      <c r="H89" s="16"/>
      <c r="I89" s="16">
        <v>176397</v>
      </c>
      <c r="J89" s="16"/>
      <c r="K89" s="16">
        <v>0</v>
      </c>
      <c r="L89" s="16"/>
      <c r="M89" s="16">
        <v>21783</v>
      </c>
      <c r="N89" s="16"/>
      <c r="O89" s="16">
        <v>35499</v>
      </c>
      <c r="P89" s="16"/>
      <c r="Q89" s="16">
        <v>3057</v>
      </c>
      <c r="R89" s="16"/>
      <c r="S89" s="16">
        <v>61789</v>
      </c>
      <c r="T89" s="16"/>
      <c r="U89" s="16">
        <v>0</v>
      </c>
      <c r="V89" s="16"/>
      <c r="W89" s="16">
        <v>0</v>
      </c>
      <c r="X89" s="16"/>
      <c r="Y89" s="16">
        <v>130500</v>
      </c>
      <c r="Z89" s="16"/>
      <c r="AA89" s="16">
        <v>0</v>
      </c>
      <c r="AB89" s="16"/>
      <c r="AC89" s="16">
        <v>0</v>
      </c>
      <c r="AD89" s="16"/>
      <c r="AE89" s="16">
        <f t="shared" si="2"/>
        <v>878832</v>
      </c>
    </row>
    <row r="90" spans="1:31" ht="12.75" customHeight="1">
      <c r="A90" s="1" t="s">
        <v>461</v>
      </c>
      <c r="B90" s="1"/>
      <c r="C90" s="1" t="s">
        <v>177</v>
      </c>
      <c r="E90" s="16">
        <v>7682</v>
      </c>
      <c r="F90" s="16"/>
      <c r="G90" s="16">
        <v>0</v>
      </c>
      <c r="H90" s="16"/>
      <c r="I90" s="16">
        <v>87800</v>
      </c>
      <c r="J90" s="16"/>
      <c r="K90" s="16">
        <v>0</v>
      </c>
      <c r="L90" s="16"/>
      <c r="M90" s="16">
        <v>40015</v>
      </c>
      <c r="N90" s="16"/>
      <c r="O90" s="16">
        <v>0</v>
      </c>
      <c r="P90" s="16"/>
      <c r="Q90" s="16">
        <v>389</v>
      </c>
      <c r="R90" s="16"/>
      <c r="S90" s="16">
        <v>579</v>
      </c>
      <c r="T90" s="16"/>
      <c r="U90" s="16">
        <v>0</v>
      </c>
      <c r="V90" s="16"/>
      <c r="W90" s="16">
        <v>0</v>
      </c>
      <c r="X90" s="16"/>
      <c r="Y90" s="16">
        <v>0</v>
      </c>
      <c r="Z90" s="16"/>
      <c r="AA90" s="16">
        <v>0</v>
      </c>
      <c r="AB90" s="16"/>
      <c r="AC90" s="16">
        <v>0</v>
      </c>
      <c r="AD90" s="16"/>
      <c r="AE90" s="16">
        <f t="shared" si="2"/>
        <v>136465</v>
      </c>
    </row>
    <row r="91" spans="1:31" ht="12.75" customHeight="1">
      <c r="A91" s="1" t="s">
        <v>760</v>
      </c>
      <c r="C91" s="1" t="s">
        <v>84</v>
      </c>
      <c r="E91" s="16">
        <v>27370</v>
      </c>
      <c r="F91" s="16"/>
      <c r="G91" s="16">
        <v>0</v>
      </c>
      <c r="H91" s="16"/>
      <c r="I91" s="16">
        <v>37966</v>
      </c>
      <c r="J91" s="16"/>
      <c r="K91" s="16">
        <v>0</v>
      </c>
      <c r="L91" s="16"/>
      <c r="M91" s="16">
        <v>0</v>
      </c>
      <c r="N91" s="16"/>
      <c r="O91" s="16">
        <v>0</v>
      </c>
      <c r="P91" s="16"/>
      <c r="Q91" s="16">
        <v>1595</v>
      </c>
      <c r="R91" s="16"/>
      <c r="S91" s="16">
        <v>753</v>
      </c>
      <c r="T91" s="16"/>
      <c r="U91" s="16">
        <v>0</v>
      </c>
      <c r="V91" s="16"/>
      <c r="W91" s="16">
        <v>0</v>
      </c>
      <c r="X91" s="16"/>
      <c r="Y91" s="16">
        <v>0</v>
      </c>
      <c r="Z91" s="16"/>
      <c r="AA91" s="16">
        <v>8580</v>
      </c>
      <c r="AB91" s="16"/>
      <c r="AC91" s="16">
        <v>0</v>
      </c>
      <c r="AD91" s="16"/>
      <c r="AE91" s="16">
        <f t="shared" si="2"/>
        <v>76264</v>
      </c>
    </row>
    <row r="92" spans="1:31" ht="12.75" customHeight="1">
      <c r="A92" s="1" t="s">
        <v>141</v>
      </c>
      <c r="B92" s="1"/>
      <c r="C92" s="1" t="s">
        <v>142</v>
      </c>
      <c r="D92" s="16"/>
      <c r="E92" s="16">
        <v>11678</v>
      </c>
      <c r="F92" s="16"/>
      <c r="G92" s="16">
        <v>0</v>
      </c>
      <c r="H92" s="16"/>
      <c r="I92" s="16">
        <v>21552</v>
      </c>
      <c r="J92" s="16"/>
      <c r="K92" s="16">
        <v>0</v>
      </c>
      <c r="L92" s="16"/>
      <c r="M92" s="16">
        <v>0</v>
      </c>
      <c r="N92" s="16"/>
      <c r="O92" s="16">
        <v>0</v>
      </c>
      <c r="P92" s="16"/>
      <c r="Q92" s="16">
        <v>160</v>
      </c>
      <c r="R92" s="16"/>
      <c r="S92" s="16">
        <v>248</v>
      </c>
      <c r="T92" s="16"/>
      <c r="U92" s="16">
        <v>0</v>
      </c>
      <c r="V92" s="16"/>
      <c r="W92" s="16">
        <v>0</v>
      </c>
      <c r="X92" s="16"/>
      <c r="Y92" s="16">
        <v>0</v>
      </c>
      <c r="Z92" s="16"/>
      <c r="AA92" s="16">
        <v>0</v>
      </c>
      <c r="AB92" s="16"/>
      <c r="AC92" s="16">
        <v>0</v>
      </c>
      <c r="AD92" s="16"/>
      <c r="AE92" s="16">
        <f t="shared" si="2"/>
        <v>33638</v>
      </c>
    </row>
    <row r="93" spans="1:31" ht="12.75" customHeight="1">
      <c r="A93" s="1" t="s">
        <v>143</v>
      </c>
      <c r="B93" s="1"/>
      <c r="C93" s="1" t="s">
        <v>435</v>
      </c>
      <c r="D93" s="16"/>
      <c r="E93" s="16">
        <v>11408</v>
      </c>
      <c r="F93" s="16"/>
      <c r="G93" s="16">
        <v>0</v>
      </c>
      <c r="H93" s="16"/>
      <c r="I93" s="16">
        <f>44186+828037</f>
        <v>872223</v>
      </c>
      <c r="J93" s="16"/>
      <c r="K93" s="16">
        <v>0</v>
      </c>
      <c r="L93" s="16"/>
      <c r="M93" s="16">
        <v>0</v>
      </c>
      <c r="N93" s="16"/>
      <c r="O93" s="16">
        <v>0</v>
      </c>
      <c r="P93" s="16"/>
      <c r="Q93" s="16">
        <v>534</v>
      </c>
      <c r="R93" s="16"/>
      <c r="S93" s="16">
        <v>93070</v>
      </c>
      <c r="T93" s="16"/>
      <c r="U93" s="16">
        <v>0</v>
      </c>
      <c r="V93" s="16"/>
      <c r="W93" s="16">
        <v>0</v>
      </c>
      <c r="X93" s="16"/>
      <c r="Y93" s="16">
        <v>0</v>
      </c>
      <c r="Z93" s="16"/>
      <c r="AA93" s="16">
        <v>0</v>
      </c>
      <c r="AB93" s="16"/>
      <c r="AC93" s="16">
        <v>0</v>
      </c>
      <c r="AD93" s="16"/>
      <c r="AE93" s="16">
        <f t="shared" si="2"/>
        <v>977235</v>
      </c>
    </row>
    <row r="94" spans="1:31" ht="12.75" customHeight="1">
      <c r="A94" s="1" t="s">
        <v>144</v>
      </c>
      <c r="B94" s="1"/>
      <c r="C94" s="1" t="s">
        <v>145</v>
      </c>
      <c r="E94" s="16">
        <v>245865</v>
      </c>
      <c r="F94" s="16"/>
      <c r="G94" s="16">
        <v>380618</v>
      </c>
      <c r="H94" s="16"/>
      <c r="I94" s="16">
        <v>136312</v>
      </c>
      <c r="J94" s="16"/>
      <c r="K94" s="16">
        <v>25895</v>
      </c>
      <c r="L94" s="16"/>
      <c r="M94" s="16">
        <v>24090</v>
      </c>
      <c r="N94" s="16"/>
      <c r="O94" s="16">
        <v>8175</v>
      </c>
      <c r="P94" s="16"/>
      <c r="Q94" s="16">
        <v>0</v>
      </c>
      <c r="R94" s="16"/>
      <c r="S94" s="16">
        <v>291990</v>
      </c>
      <c r="T94" s="16"/>
      <c r="U94" s="16">
        <v>0</v>
      </c>
      <c r="V94" s="16"/>
      <c r="W94" s="16">
        <v>0</v>
      </c>
      <c r="X94" s="16"/>
      <c r="Y94" s="16">
        <v>411775</v>
      </c>
      <c r="Z94" s="16"/>
      <c r="AA94" s="16">
        <v>0</v>
      </c>
      <c r="AB94" s="16"/>
      <c r="AC94" s="16">
        <v>7436</v>
      </c>
      <c r="AD94" s="16"/>
      <c r="AE94" s="16">
        <f t="shared" si="2"/>
        <v>1532156</v>
      </c>
    </row>
    <row r="95" spans="1:31" ht="12.75" customHeight="1">
      <c r="A95" s="1" t="s">
        <v>146</v>
      </c>
      <c r="B95" s="1"/>
      <c r="C95" s="1" t="s">
        <v>147</v>
      </c>
      <c r="D95" s="16"/>
      <c r="E95" s="16">
        <v>110328</v>
      </c>
      <c r="F95" s="16"/>
      <c r="G95" s="16">
        <v>0</v>
      </c>
      <c r="H95" s="16"/>
      <c r="I95" s="16">
        <v>83858</v>
      </c>
      <c r="J95" s="16"/>
      <c r="K95" s="16">
        <v>0</v>
      </c>
      <c r="L95" s="16"/>
      <c r="M95" s="16">
        <v>0</v>
      </c>
      <c r="N95" s="16"/>
      <c r="O95" s="16">
        <v>16428</v>
      </c>
      <c r="P95" s="16"/>
      <c r="Q95" s="16">
        <v>418</v>
      </c>
      <c r="R95" s="16"/>
      <c r="S95" s="16">
        <v>31925</v>
      </c>
      <c r="T95" s="16"/>
      <c r="U95" s="16">
        <v>0</v>
      </c>
      <c r="V95" s="16"/>
      <c r="W95" s="16">
        <v>0</v>
      </c>
      <c r="X95" s="16"/>
      <c r="Y95" s="16">
        <v>10000</v>
      </c>
      <c r="Z95" s="16"/>
      <c r="AA95" s="16">
        <v>0</v>
      </c>
      <c r="AB95" s="16"/>
      <c r="AC95" s="16">
        <v>15636</v>
      </c>
      <c r="AD95" s="16"/>
      <c r="AE95" s="16">
        <f t="shared" si="2"/>
        <v>268593</v>
      </c>
    </row>
    <row r="96" spans="1:31" ht="12.75" customHeight="1">
      <c r="A96" s="1" t="s">
        <v>752</v>
      </c>
      <c r="C96" s="1" t="s">
        <v>172</v>
      </c>
      <c r="E96" s="16">
        <v>5762</v>
      </c>
      <c r="F96" s="16"/>
      <c r="G96" s="16">
        <v>0</v>
      </c>
      <c r="H96" s="16"/>
      <c r="I96" s="16">
        <v>3458</v>
      </c>
      <c r="J96" s="16"/>
      <c r="K96" s="16">
        <v>0</v>
      </c>
      <c r="L96" s="16"/>
      <c r="M96" s="16">
        <v>0</v>
      </c>
      <c r="N96" s="16"/>
      <c r="O96" s="16">
        <v>400</v>
      </c>
      <c r="P96" s="16"/>
      <c r="Q96" s="16">
        <v>0</v>
      </c>
      <c r="R96" s="16"/>
      <c r="S96" s="16">
        <v>0</v>
      </c>
      <c r="T96" s="16"/>
      <c r="U96" s="16">
        <v>0</v>
      </c>
      <c r="V96" s="16"/>
      <c r="W96" s="16">
        <v>0</v>
      </c>
      <c r="X96" s="16"/>
      <c r="Y96" s="16">
        <v>0</v>
      </c>
      <c r="Z96" s="16"/>
      <c r="AA96" s="16">
        <v>0</v>
      </c>
      <c r="AB96" s="16"/>
      <c r="AC96" s="16">
        <v>3560</v>
      </c>
      <c r="AD96" s="16"/>
      <c r="AE96" s="16">
        <f t="shared" si="2"/>
        <v>13180</v>
      </c>
    </row>
    <row r="97" spans="1:31" ht="12.75" customHeight="1">
      <c r="A97" s="1" t="s">
        <v>557</v>
      </c>
      <c r="C97" s="1" t="s">
        <v>199</v>
      </c>
      <c r="E97" s="16">
        <v>133470</v>
      </c>
      <c r="F97" s="16"/>
      <c r="G97" s="16">
        <v>447451</v>
      </c>
      <c r="H97" s="16"/>
      <c r="I97" s="16">
        <v>225428</v>
      </c>
      <c r="J97" s="16"/>
      <c r="K97" s="16">
        <v>152</v>
      </c>
      <c r="L97" s="16"/>
      <c r="M97" s="16">
        <v>50000</v>
      </c>
      <c r="N97" s="16"/>
      <c r="O97" s="16">
        <v>15017</v>
      </c>
      <c r="P97" s="16"/>
      <c r="Q97" s="16">
        <v>6521</v>
      </c>
      <c r="R97" s="16"/>
      <c r="S97" s="16">
        <v>47230</v>
      </c>
      <c r="T97" s="16"/>
      <c r="U97" s="16">
        <v>0</v>
      </c>
      <c r="V97" s="16"/>
      <c r="W97" s="16">
        <v>0</v>
      </c>
      <c r="X97" s="16"/>
      <c r="Y97" s="16">
        <v>109452</v>
      </c>
      <c r="Z97" s="16"/>
      <c r="AA97" s="16">
        <v>0</v>
      </c>
      <c r="AB97" s="16"/>
      <c r="AC97" s="16">
        <v>0</v>
      </c>
      <c r="AD97" s="16"/>
      <c r="AE97" s="16">
        <f t="shared" si="2"/>
        <v>1034721</v>
      </c>
    </row>
    <row r="98" spans="1:31" ht="12.75" customHeight="1">
      <c r="A98" s="1" t="s">
        <v>578</v>
      </c>
      <c r="C98" s="1" t="s">
        <v>133</v>
      </c>
      <c r="E98" s="16">
        <v>103535</v>
      </c>
      <c r="F98" s="16"/>
      <c r="G98" s="16">
        <v>688063</v>
      </c>
      <c r="H98" s="16"/>
      <c r="I98" s="16">
        <v>293902</v>
      </c>
      <c r="J98" s="16"/>
      <c r="K98" s="16">
        <v>867</v>
      </c>
      <c r="L98" s="16"/>
      <c r="M98" s="16">
        <v>149736</v>
      </c>
      <c r="N98" s="16"/>
      <c r="O98" s="16">
        <v>39564</v>
      </c>
      <c r="P98" s="16"/>
      <c r="Q98" s="16">
        <v>25671</v>
      </c>
      <c r="R98" s="16"/>
      <c r="S98" s="16">
        <v>6238</v>
      </c>
      <c r="T98" s="16"/>
      <c r="U98" s="16">
        <v>0</v>
      </c>
      <c r="V98" s="16"/>
      <c r="W98" s="16">
        <v>0</v>
      </c>
      <c r="X98" s="16"/>
      <c r="Y98" s="16">
        <v>0</v>
      </c>
      <c r="Z98" s="16"/>
      <c r="AA98" s="16">
        <v>66000</v>
      </c>
      <c r="AB98" s="16"/>
      <c r="AC98" s="16">
        <v>60577</v>
      </c>
      <c r="AD98" s="16"/>
      <c r="AE98" s="16">
        <f t="shared" si="2"/>
        <v>1434153</v>
      </c>
    </row>
    <row r="99" spans="1:31" ht="12.75" customHeight="1">
      <c r="A99" s="1" t="s">
        <v>436</v>
      </c>
      <c r="C99" s="1" t="s">
        <v>104</v>
      </c>
      <c r="E99" s="16">
        <v>34489</v>
      </c>
      <c r="F99" s="16"/>
      <c r="G99" s="16">
        <v>0</v>
      </c>
      <c r="H99" s="16"/>
      <c r="I99" s="16">
        <v>114558</v>
      </c>
      <c r="J99" s="16"/>
      <c r="K99" s="16">
        <v>0</v>
      </c>
      <c r="L99" s="16"/>
      <c r="M99" s="16">
        <v>6525</v>
      </c>
      <c r="N99" s="16"/>
      <c r="O99" s="16">
        <v>2481</v>
      </c>
      <c r="P99" s="16"/>
      <c r="Q99" s="16">
        <v>141116</v>
      </c>
      <c r="R99" s="16"/>
      <c r="S99" s="16">
        <v>79543</v>
      </c>
      <c r="T99" s="16"/>
      <c r="U99" s="16">
        <v>0</v>
      </c>
      <c r="V99" s="16"/>
      <c r="W99" s="16">
        <v>0</v>
      </c>
      <c r="X99" s="16"/>
      <c r="Y99" s="16">
        <v>0</v>
      </c>
      <c r="Z99" s="16"/>
      <c r="AA99" s="16">
        <v>0</v>
      </c>
      <c r="AB99" s="16"/>
      <c r="AC99" s="16">
        <v>0</v>
      </c>
      <c r="AD99" s="16"/>
      <c r="AE99" s="16">
        <f t="shared" si="2"/>
        <v>378712</v>
      </c>
    </row>
    <row r="100" spans="1:31" ht="12.75" customHeight="1">
      <c r="A100" s="1" t="s">
        <v>635</v>
      </c>
      <c r="C100" s="1" t="s">
        <v>268</v>
      </c>
      <c r="E100" s="16">
        <v>59121</v>
      </c>
      <c r="F100" s="16"/>
      <c r="G100" s="16">
        <v>0</v>
      </c>
      <c r="H100" s="16"/>
      <c r="I100" s="16">
        <v>71840</v>
      </c>
      <c r="J100" s="16"/>
      <c r="K100" s="16">
        <v>97312</v>
      </c>
      <c r="L100" s="16"/>
      <c r="M100" s="16">
        <v>0</v>
      </c>
      <c r="N100" s="16"/>
      <c r="O100" s="16">
        <v>3242</v>
      </c>
      <c r="P100" s="16"/>
      <c r="Q100" s="16">
        <v>3679</v>
      </c>
      <c r="R100" s="16"/>
      <c r="S100" s="16">
        <v>5595</v>
      </c>
      <c r="T100" s="16"/>
      <c r="U100" s="16">
        <v>0</v>
      </c>
      <c r="V100" s="16"/>
      <c r="W100" s="16">
        <v>0</v>
      </c>
      <c r="X100" s="16"/>
      <c r="Y100" s="16">
        <v>0</v>
      </c>
      <c r="Z100" s="16"/>
      <c r="AA100" s="16">
        <v>559</v>
      </c>
      <c r="AB100" s="16"/>
      <c r="AC100" s="16">
        <v>0</v>
      </c>
      <c r="AD100" s="16"/>
      <c r="AE100" s="16">
        <f t="shared" si="2"/>
        <v>241348</v>
      </c>
    </row>
    <row r="101" spans="1:31" ht="12.75" customHeight="1">
      <c r="A101" s="1" t="s">
        <v>695</v>
      </c>
      <c r="C101" s="1" t="s">
        <v>225</v>
      </c>
      <c r="E101" s="16">
        <v>242143</v>
      </c>
      <c r="F101" s="16"/>
      <c r="G101" s="16">
        <v>0</v>
      </c>
      <c r="H101" s="16"/>
      <c r="I101" s="16">
        <v>182684</v>
      </c>
      <c r="J101" s="16"/>
      <c r="K101" s="16">
        <v>0</v>
      </c>
      <c r="L101" s="16"/>
      <c r="M101" s="16">
        <v>2337</v>
      </c>
      <c r="N101" s="16"/>
      <c r="O101" s="16">
        <v>19363</v>
      </c>
      <c r="P101" s="16"/>
      <c r="Q101" s="16">
        <v>4620</v>
      </c>
      <c r="R101" s="16"/>
      <c r="S101" s="16">
        <v>64628</v>
      </c>
      <c r="T101" s="16"/>
      <c r="U101" s="16">
        <v>0</v>
      </c>
      <c r="V101" s="16"/>
      <c r="W101" s="16">
        <v>0</v>
      </c>
      <c r="X101" s="16"/>
      <c r="Y101" s="16">
        <v>109</v>
      </c>
      <c r="Z101" s="16"/>
      <c r="AA101" s="16">
        <v>0</v>
      </c>
      <c r="AB101" s="16"/>
      <c r="AC101" s="16">
        <v>0</v>
      </c>
      <c r="AD101" s="16"/>
      <c r="AE101" s="16">
        <f t="shared" si="2"/>
        <v>515884</v>
      </c>
    </row>
    <row r="102" spans="1:31" ht="12.75" customHeight="1">
      <c r="A102" s="1" t="s">
        <v>148</v>
      </c>
      <c r="B102" s="1"/>
      <c r="C102" s="1" t="s">
        <v>149</v>
      </c>
      <c r="D102" s="16"/>
      <c r="E102" s="16">
        <v>3367264</v>
      </c>
      <c r="F102" s="16"/>
      <c r="G102" s="16">
        <v>0</v>
      </c>
      <c r="H102" s="16"/>
      <c r="I102" s="16">
        <v>2485886</v>
      </c>
      <c r="J102" s="16"/>
      <c r="K102" s="16">
        <v>0</v>
      </c>
      <c r="L102" s="16"/>
      <c r="M102" s="16">
        <v>201800</v>
      </c>
      <c r="N102" s="16"/>
      <c r="O102" s="16">
        <v>599977</v>
      </c>
      <c r="P102" s="16"/>
      <c r="Q102" s="16">
        <v>57651</v>
      </c>
      <c r="R102" s="16"/>
      <c r="S102" s="16">
        <v>991236</v>
      </c>
      <c r="T102" s="16"/>
      <c r="U102" s="16">
        <v>10471380</v>
      </c>
      <c r="V102" s="16"/>
      <c r="W102" s="16">
        <v>0</v>
      </c>
      <c r="X102" s="16"/>
      <c r="Y102" s="16">
        <v>1254476</v>
      </c>
      <c r="Z102" s="16"/>
      <c r="AA102" s="16">
        <v>0</v>
      </c>
      <c r="AB102" s="16"/>
      <c r="AC102" s="16">
        <v>0</v>
      </c>
      <c r="AD102" s="16"/>
      <c r="AE102" s="16">
        <f t="shared" si="2"/>
        <v>19429670</v>
      </c>
    </row>
    <row r="103" spans="1:31" ht="12.75" customHeight="1">
      <c r="A103" s="1" t="s">
        <v>664</v>
      </c>
      <c r="C103" s="1" t="s">
        <v>309</v>
      </c>
      <c r="E103" s="16">
        <v>261666</v>
      </c>
      <c r="F103" s="16"/>
      <c r="G103" s="16">
        <v>777696</v>
      </c>
      <c r="H103" s="16"/>
      <c r="I103" s="16">
        <v>107947</v>
      </c>
      <c r="J103" s="16"/>
      <c r="K103" s="16">
        <v>1181</v>
      </c>
      <c r="L103" s="16"/>
      <c r="M103" s="16">
        <v>89623</v>
      </c>
      <c r="N103" s="16"/>
      <c r="O103" s="16">
        <v>36080</v>
      </c>
      <c r="P103" s="16"/>
      <c r="Q103" s="16">
        <v>33370</v>
      </c>
      <c r="R103" s="16"/>
      <c r="S103" s="16">
        <v>12575</v>
      </c>
      <c r="T103" s="16"/>
      <c r="U103" s="16">
        <v>22000</v>
      </c>
      <c r="V103" s="16"/>
      <c r="W103" s="16">
        <v>3400</v>
      </c>
      <c r="X103" s="16"/>
      <c r="Y103" s="16">
        <v>297500</v>
      </c>
      <c r="Z103" s="16"/>
      <c r="AA103" s="16">
        <v>0</v>
      </c>
      <c r="AB103" s="16"/>
      <c r="AC103" s="16">
        <v>112</v>
      </c>
      <c r="AD103" s="16"/>
      <c r="AE103" s="16">
        <f t="shared" si="2"/>
        <v>1643150</v>
      </c>
    </row>
    <row r="104" spans="1:31" ht="12.75" customHeight="1">
      <c r="A104" s="1" t="s">
        <v>150</v>
      </c>
      <c r="B104" s="1"/>
      <c r="C104" s="1" t="s">
        <v>151</v>
      </c>
      <c r="D104" s="16"/>
      <c r="E104" s="16">
        <v>1571283</v>
      </c>
      <c r="F104" s="16"/>
      <c r="G104" s="16">
        <v>0</v>
      </c>
      <c r="H104" s="16"/>
      <c r="I104" s="16">
        <v>256719</v>
      </c>
      <c r="J104" s="16"/>
      <c r="K104" s="16">
        <v>5864</v>
      </c>
      <c r="L104" s="16"/>
      <c r="M104" s="16">
        <v>84937</v>
      </c>
      <c r="N104" s="16"/>
      <c r="O104" s="16">
        <v>13636</v>
      </c>
      <c r="P104" s="16"/>
      <c r="Q104" s="16">
        <v>209778</v>
      </c>
      <c r="R104" s="16"/>
      <c r="S104" s="16">
        <v>38605</v>
      </c>
      <c r="T104" s="16"/>
      <c r="U104" s="16">
        <v>0</v>
      </c>
      <c r="V104" s="16"/>
      <c r="W104" s="16">
        <v>0</v>
      </c>
      <c r="X104" s="16"/>
      <c r="Y104" s="16">
        <v>500000</v>
      </c>
      <c r="Z104" s="16"/>
      <c r="AA104" s="16">
        <v>0</v>
      </c>
      <c r="AB104" s="16"/>
      <c r="AC104" s="16">
        <v>27874</v>
      </c>
      <c r="AD104" s="16"/>
      <c r="AE104" s="16">
        <f t="shared" si="2"/>
        <v>2708696</v>
      </c>
    </row>
    <row r="105" spans="1:31" ht="12.75" customHeight="1">
      <c r="A105" s="1" t="s">
        <v>153</v>
      </c>
      <c r="C105" s="1" t="s">
        <v>98</v>
      </c>
      <c r="E105" s="16">
        <v>29525</v>
      </c>
      <c r="F105" s="16"/>
      <c r="G105" s="16">
        <v>124649</v>
      </c>
      <c r="H105" s="16"/>
      <c r="I105" s="16">
        <v>107639</v>
      </c>
      <c r="J105" s="16"/>
      <c r="K105" s="16">
        <v>0</v>
      </c>
      <c r="L105" s="16"/>
      <c r="M105" s="16">
        <v>0</v>
      </c>
      <c r="N105" s="16"/>
      <c r="O105" s="16">
        <v>17134</v>
      </c>
      <c r="P105" s="16"/>
      <c r="Q105" s="16">
        <v>9683</v>
      </c>
      <c r="R105" s="16"/>
      <c r="S105" s="16">
        <v>5203</v>
      </c>
      <c r="T105" s="16"/>
      <c r="U105" s="16">
        <v>0</v>
      </c>
      <c r="V105" s="16"/>
      <c r="W105" s="16">
        <v>0</v>
      </c>
      <c r="X105" s="16"/>
      <c r="Y105" s="16">
        <v>0</v>
      </c>
      <c r="Z105" s="16"/>
      <c r="AA105" s="16">
        <v>1335</v>
      </c>
      <c r="AB105" s="16"/>
      <c r="AC105" s="16">
        <v>0</v>
      </c>
      <c r="AD105" s="16"/>
      <c r="AE105" s="16">
        <f aca="true" t="shared" si="3" ref="AE105:AE136">SUM(E105:AC105)</f>
        <v>295168</v>
      </c>
    </row>
    <row r="106" spans="1:31" ht="12.75" customHeight="1">
      <c r="A106" s="1" t="s">
        <v>152</v>
      </c>
      <c r="B106" s="1"/>
      <c r="C106" s="1" t="s">
        <v>153</v>
      </c>
      <c r="E106" s="16">
        <v>259631</v>
      </c>
      <c r="F106" s="16"/>
      <c r="G106" s="16">
        <v>0</v>
      </c>
      <c r="H106" s="16"/>
      <c r="I106" s="16">
        <v>353909</v>
      </c>
      <c r="J106" s="16"/>
      <c r="K106" s="16">
        <v>0</v>
      </c>
      <c r="L106" s="16"/>
      <c r="M106" s="16">
        <v>34662</v>
      </c>
      <c r="N106" s="16"/>
      <c r="O106" s="16">
        <f>113086-30000</f>
        <v>83086</v>
      </c>
      <c r="P106" s="16"/>
      <c r="Q106" s="16">
        <v>6407</v>
      </c>
      <c r="R106" s="16"/>
      <c r="S106" s="16">
        <v>44876</v>
      </c>
      <c r="T106" s="16"/>
      <c r="U106" s="16">
        <v>73000</v>
      </c>
      <c r="V106" s="16"/>
      <c r="W106" s="16">
        <v>5035</v>
      </c>
      <c r="X106" s="16"/>
      <c r="Y106" s="16">
        <v>732554</v>
      </c>
      <c r="Z106" s="16"/>
      <c r="AA106" s="16">
        <v>0</v>
      </c>
      <c r="AB106" s="16"/>
      <c r="AC106" s="16">
        <v>0</v>
      </c>
      <c r="AD106" s="16"/>
      <c r="AE106" s="16">
        <f t="shared" si="3"/>
        <v>1593160</v>
      </c>
    </row>
    <row r="107" spans="1:31" ht="12.75" customHeight="1">
      <c r="A107" s="1" t="s">
        <v>154</v>
      </c>
      <c r="B107" s="1"/>
      <c r="C107" s="1" t="s">
        <v>155</v>
      </c>
      <c r="D107" s="16"/>
      <c r="E107" s="16">
        <v>12065</v>
      </c>
      <c r="F107" s="16"/>
      <c r="G107" s="16">
        <v>0</v>
      </c>
      <c r="H107" s="16"/>
      <c r="I107" s="16">
        <v>36804</v>
      </c>
      <c r="J107" s="16"/>
      <c r="K107" s="16">
        <v>10462</v>
      </c>
      <c r="L107" s="16"/>
      <c r="M107" s="16">
        <v>2887</v>
      </c>
      <c r="N107" s="16"/>
      <c r="O107" s="16">
        <v>22</v>
      </c>
      <c r="P107" s="16"/>
      <c r="Q107" s="16">
        <v>5755</v>
      </c>
      <c r="R107" s="16"/>
      <c r="S107" s="16">
        <v>1329</v>
      </c>
      <c r="T107" s="16"/>
      <c r="U107" s="16">
        <v>0</v>
      </c>
      <c r="V107" s="16"/>
      <c r="W107" s="16">
        <v>0</v>
      </c>
      <c r="X107" s="16"/>
      <c r="Y107" s="16">
        <v>3211</v>
      </c>
      <c r="Z107" s="16"/>
      <c r="AA107" s="16">
        <v>0</v>
      </c>
      <c r="AB107" s="16"/>
      <c r="AC107" s="16">
        <v>0</v>
      </c>
      <c r="AD107" s="16"/>
      <c r="AE107" s="16">
        <f t="shared" si="3"/>
        <v>72535</v>
      </c>
    </row>
    <row r="108" spans="1:31" ht="12.75" customHeight="1">
      <c r="A108" s="1" t="s">
        <v>529</v>
      </c>
      <c r="C108" s="1" t="s">
        <v>261</v>
      </c>
      <c r="E108" s="16">
        <v>137763</v>
      </c>
      <c r="F108" s="16"/>
      <c r="G108" s="16">
        <v>0</v>
      </c>
      <c r="H108" s="16"/>
      <c r="I108" s="16">
        <v>140284</v>
      </c>
      <c r="J108" s="16"/>
      <c r="K108" s="16">
        <v>19897</v>
      </c>
      <c r="L108" s="16"/>
      <c r="M108" s="16">
        <v>0</v>
      </c>
      <c r="N108" s="16"/>
      <c r="O108" s="16">
        <v>31106</v>
      </c>
      <c r="P108" s="16"/>
      <c r="Q108" s="16">
        <v>1094</v>
      </c>
      <c r="R108" s="16"/>
      <c r="S108" s="16">
        <v>15454</v>
      </c>
      <c r="T108" s="16"/>
      <c r="U108" s="16">
        <v>0</v>
      </c>
      <c r="V108" s="16"/>
      <c r="W108" s="16">
        <v>0</v>
      </c>
      <c r="X108" s="16"/>
      <c r="Y108" s="16">
        <v>0</v>
      </c>
      <c r="Z108" s="16"/>
      <c r="AA108" s="16">
        <v>0</v>
      </c>
      <c r="AB108" s="16"/>
      <c r="AC108" s="16">
        <v>0</v>
      </c>
      <c r="AD108" s="16"/>
      <c r="AE108" s="16">
        <f t="shared" si="3"/>
        <v>345598</v>
      </c>
    </row>
    <row r="109" spans="1:31" ht="12.75" customHeight="1">
      <c r="A109" s="1" t="s">
        <v>520</v>
      </c>
      <c r="C109" s="1" t="s">
        <v>78</v>
      </c>
      <c r="E109" s="16">
        <v>273</v>
      </c>
      <c r="F109" s="16"/>
      <c r="G109" s="16">
        <v>0</v>
      </c>
      <c r="H109" s="16"/>
      <c r="I109" s="16">
        <v>31706</v>
      </c>
      <c r="J109" s="16"/>
      <c r="K109" s="16">
        <v>115</v>
      </c>
      <c r="L109" s="16"/>
      <c r="M109" s="16">
        <v>80</v>
      </c>
      <c r="N109" s="16"/>
      <c r="O109" s="16">
        <v>709</v>
      </c>
      <c r="P109" s="16"/>
      <c r="Q109" s="16">
        <v>2564</v>
      </c>
      <c r="R109" s="16"/>
      <c r="S109" s="16">
        <v>71</v>
      </c>
      <c r="T109" s="16"/>
      <c r="U109" s="16">
        <v>0</v>
      </c>
      <c r="V109" s="16"/>
      <c r="W109" s="16">
        <v>0</v>
      </c>
      <c r="X109" s="16"/>
      <c r="Y109" s="16">
        <v>0</v>
      </c>
      <c r="Z109" s="16"/>
      <c r="AA109" s="16">
        <v>0</v>
      </c>
      <c r="AB109" s="16"/>
      <c r="AC109" s="16">
        <v>0</v>
      </c>
      <c r="AD109" s="16"/>
      <c r="AE109" s="16">
        <f t="shared" si="3"/>
        <v>35518</v>
      </c>
    </row>
    <row r="110" spans="1:31" ht="12.75" customHeight="1">
      <c r="A110" s="1" t="s">
        <v>487</v>
      </c>
      <c r="C110" s="1" t="s">
        <v>194</v>
      </c>
      <c r="E110" s="16">
        <v>6986</v>
      </c>
      <c r="F110" s="16"/>
      <c r="G110" s="16">
        <v>29627</v>
      </c>
      <c r="H110" s="16"/>
      <c r="I110" s="16">
        <v>18379</v>
      </c>
      <c r="J110" s="16"/>
      <c r="K110" s="16">
        <v>0</v>
      </c>
      <c r="L110" s="16"/>
      <c r="M110" s="16">
        <v>7625</v>
      </c>
      <c r="N110" s="16"/>
      <c r="O110" s="16">
        <v>3293</v>
      </c>
      <c r="P110" s="16"/>
      <c r="Q110" s="16">
        <v>210</v>
      </c>
      <c r="R110" s="16"/>
      <c r="S110" s="16">
        <v>368</v>
      </c>
      <c r="T110" s="16"/>
      <c r="U110" s="16">
        <v>0</v>
      </c>
      <c r="V110" s="16"/>
      <c r="W110" s="16">
        <v>0</v>
      </c>
      <c r="X110" s="16"/>
      <c r="Y110" s="16">
        <v>0</v>
      </c>
      <c r="Z110" s="16"/>
      <c r="AA110" s="16">
        <v>0</v>
      </c>
      <c r="AB110" s="16"/>
      <c r="AC110" s="16">
        <v>0</v>
      </c>
      <c r="AD110" s="16"/>
      <c r="AE110" s="16">
        <f t="shared" si="3"/>
        <v>66488</v>
      </c>
    </row>
    <row r="111" spans="1:31" ht="12.75" customHeight="1">
      <c r="A111" s="1" t="s">
        <v>678</v>
      </c>
      <c r="C111" s="1" t="s">
        <v>82</v>
      </c>
      <c r="E111" s="16">
        <v>7667</v>
      </c>
      <c r="F111" s="16"/>
      <c r="G111" s="16">
        <v>9242</v>
      </c>
      <c r="H111" s="16"/>
      <c r="I111" s="16">
        <v>24247</v>
      </c>
      <c r="J111" s="16"/>
      <c r="K111" s="16">
        <v>0</v>
      </c>
      <c r="L111" s="16"/>
      <c r="M111" s="16">
        <v>375</v>
      </c>
      <c r="N111" s="16"/>
      <c r="O111" s="16">
        <v>1088</v>
      </c>
      <c r="P111" s="16"/>
      <c r="Q111" s="16">
        <v>174</v>
      </c>
      <c r="R111" s="16"/>
      <c r="S111" s="16">
        <v>76</v>
      </c>
      <c r="T111" s="16"/>
      <c r="U111" s="16">
        <v>0</v>
      </c>
      <c r="V111" s="16"/>
      <c r="W111" s="16">
        <v>0</v>
      </c>
      <c r="X111" s="16"/>
      <c r="Y111" s="16">
        <v>0</v>
      </c>
      <c r="Z111" s="16"/>
      <c r="AA111" s="16">
        <v>0</v>
      </c>
      <c r="AB111" s="16"/>
      <c r="AC111" s="16">
        <v>0</v>
      </c>
      <c r="AD111" s="16"/>
      <c r="AE111" s="16">
        <f t="shared" si="3"/>
        <v>42869</v>
      </c>
    </row>
    <row r="112" spans="1:31" ht="12.75" customHeight="1">
      <c r="A112" s="1" t="s">
        <v>156</v>
      </c>
      <c r="B112" s="1"/>
      <c r="C112" s="1" t="s">
        <v>157</v>
      </c>
      <c r="D112" s="16"/>
      <c r="E112" s="16">
        <f>15807+5733</f>
        <v>21540</v>
      </c>
      <c r="F112" s="16"/>
      <c r="G112" s="16">
        <v>408057</v>
      </c>
      <c r="H112" s="16"/>
      <c r="I112" s="16">
        <f>177014+64874</f>
        <v>241888</v>
      </c>
      <c r="J112" s="16"/>
      <c r="K112" s="16">
        <v>0</v>
      </c>
      <c r="L112" s="16"/>
      <c r="M112" s="16">
        <v>0</v>
      </c>
      <c r="N112" s="16"/>
      <c r="O112" s="16">
        <f>335+5629</f>
        <v>5964</v>
      </c>
      <c r="P112" s="16"/>
      <c r="Q112" s="16">
        <f>5917+1150</f>
        <v>7067</v>
      </c>
      <c r="R112" s="16"/>
      <c r="S112" s="16">
        <f>21313+14061</f>
        <v>35374</v>
      </c>
      <c r="T112" s="16"/>
      <c r="U112" s="16">
        <v>0</v>
      </c>
      <c r="V112" s="16"/>
      <c r="W112" s="16">
        <v>0</v>
      </c>
      <c r="X112" s="16"/>
      <c r="Y112" s="16">
        <v>275716</v>
      </c>
      <c r="Z112" s="16"/>
      <c r="AA112" s="16">
        <v>0</v>
      </c>
      <c r="AB112" s="16"/>
      <c r="AC112" s="16">
        <v>0</v>
      </c>
      <c r="AD112" s="16"/>
      <c r="AE112" s="16">
        <f t="shared" si="3"/>
        <v>995606</v>
      </c>
    </row>
    <row r="113" spans="1:31" ht="12.75" customHeight="1">
      <c r="A113" s="1" t="s">
        <v>604</v>
      </c>
      <c r="C113" s="1" t="s">
        <v>182</v>
      </c>
      <c r="E113" s="16">
        <v>67914</v>
      </c>
      <c r="F113" s="16"/>
      <c r="G113" s="16">
        <v>276584</v>
      </c>
      <c r="H113" s="16"/>
      <c r="I113" s="16">
        <v>174232</v>
      </c>
      <c r="J113" s="16"/>
      <c r="K113" s="16">
        <v>0</v>
      </c>
      <c r="L113" s="16"/>
      <c r="M113" s="16">
        <v>0</v>
      </c>
      <c r="N113" s="16"/>
      <c r="O113" s="16">
        <v>13936</v>
      </c>
      <c r="P113" s="16"/>
      <c r="Q113" s="16">
        <v>1916</v>
      </c>
      <c r="R113" s="16"/>
      <c r="S113" s="16">
        <v>183071</v>
      </c>
      <c r="T113" s="16"/>
      <c r="U113" s="16">
        <v>0</v>
      </c>
      <c r="V113" s="16"/>
      <c r="W113" s="16">
        <v>0</v>
      </c>
      <c r="X113" s="16"/>
      <c r="Y113" s="16">
        <v>34672</v>
      </c>
      <c r="Z113" s="16"/>
      <c r="AA113" s="16">
        <v>0</v>
      </c>
      <c r="AB113" s="16"/>
      <c r="AC113" s="16">
        <v>89269</v>
      </c>
      <c r="AD113" s="16"/>
      <c r="AE113" s="16">
        <f t="shared" si="3"/>
        <v>841594</v>
      </c>
    </row>
    <row r="114" spans="1:31" ht="12.75" customHeight="1">
      <c r="A114" s="1" t="s">
        <v>550</v>
      </c>
      <c r="C114" s="1" t="s">
        <v>210</v>
      </c>
      <c r="E114" s="16">
        <v>2084</v>
      </c>
      <c r="F114" s="16"/>
      <c r="G114" s="16">
        <v>0</v>
      </c>
      <c r="H114" s="16"/>
      <c r="I114" s="16">
        <v>79032</v>
      </c>
      <c r="J114" s="16"/>
      <c r="K114" s="16">
        <v>0</v>
      </c>
      <c r="L114" s="16"/>
      <c r="M114" s="16">
        <v>1741</v>
      </c>
      <c r="N114" s="16"/>
      <c r="O114" s="16">
        <v>0</v>
      </c>
      <c r="P114" s="16"/>
      <c r="Q114" s="16">
        <v>20</v>
      </c>
      <c r="R114" s="16"/>
      <c r="S114" s="16">
        <v>9608</v>
      </c>
      <c r="T114" s="16"/>
      <c r="U114" s="16">
        <v>0</v>
      </c>
      <c r="V114" s="16"/>
      <c r="W114" s="16">
        <v>0</v>
      </c>
      <c r="X114" s="16"/>
      <c r="Y114" s="16">
        <v>0</v>
      </c>
      <c r="Z114" s="16"/>
      <c r="AA114" s="16">
        <v>0</v>
      </c>
      <c r="AB114" s="16"/>
      <c r="AC114" s="16">
        <v>2143</v>
      </c>
      <c r="AD114" s="16"/>
      <c r="AE114" s="16">
        <f t="shared" si="3"/>
        <v>94628</v>
      </c>
    </row>
    <row r="115" spans="1:31" ht="12.75" customHeight="1">
      <c r="A115" s="1" t="s">
        <v>158</v>
      </c>
      <c r="B115" s="1"/>
      <c r="C115" s="1" t="s">
        <v>112</v>
      </c>
      <c r="D115" s="16"/>
      <c r="E115" s="16">
        <f>1406365-43418</f>
        <v>1362947</v>
      </c>
      <c r="F115" s="16"/>
      <c r="G115" s="16">
        <v>2376808</v>
      </c>
      <c r="H115" s="16"/>
      <c r="I115" s="16">
        <f>1877998-5670</f>
        <v>1872328</v>
      </c>
      <c r="J115" s="16"/>
      <c r="K115" s="16">
        <v>58693</v>
      </c>
      <c r="L115" s="16"/>
      <c r="M115" s="16">
        <v>279018</v>
      </c>
      <c r="N115" s="16"/>
      <c r="O115" s="16">
        <v>77703</v>
      </c>
      <c r="P115" s="16"/>
      <c r="Q115" s="16">
        <v>123312</v>
      </c>
      <c r="R115" s="16"/>
      <c r="S115" s="16">
        <f>183642-35118</f>
        <v>148524</v>
      </c>
      <c r="T115" s="16"/>
      <c r="U115" s="16">
        <v>0</v>
      </c>
      <c r="V115" s="16"/>
      <c r="W115" s="16">
        <v>0</v>
      </c>
      <c r="X115" s="16"/>
      <c r="Y115" s="16">
        <v>1279446</v>
      </c>
      <c r="Z115" s="16"/>
      <c r="AA115" s="16">
        <v>0</v>
      </c>
      <c r="AB115" s="16"/>
      <c r="AC115" s="16">
        <v>0</v>
      </c>
      <c r="AD115" s="16"/>
      <c r="AE115" s="16">
        <f t="shared" si="3"/>
        <v>7578779</v>
      </c>
    </row>
    <row r="116" spans="1:31" ht="12.75" customHeight="1">
      <c r="A116" s="1" t="s">
        <v>159</v>
      </c>
      <c r="B116" s="1"/>
      <c r="C116" s="1" t="s">
        <v>160</v>
      </c>
      <c r="D116" s="16"/>
      <c r="E116" s="16">
        <f>3723</f>
        <v>3723</v>
      </c>
      <c r="F116" s="16"/>
      <c r="G116" s="16">
        <v>0</v>
      </c>
      <c r="H116" s="16"/>
      <c r="I116" s="16">
        <f>23156+7741</f>
        <v>30897</v>
      </c>
      <c r="J116" s="16"/>
      <c r="K116" s="16">
        <v>0</v>
      </c>
      <c r="L116" s="16"/>
      <c r="M116" s="16">
        <v>0</v>
      </c>
      <c r="N116" s="16"/>
      <c r="O116" s="16">
        <v>225</v>
      </c>
      <c r="P116" s="16"/>
      <c r="Q116" s="16">
        <f>307+88</f>
        <v>395</v>
      </c>
      <c r="R116" s="16"/>
      <c r="S116" s="16">
        <v>1061</v>
      </c>
      <c r="T116" s="16"/>
      <c r="U116" s="16">
        <v>0</v>
      </c>
      <c r="V116" s="16"/>
      <c r="W116" s="16">
        <v>0</v>
      </c>
      <c r="X116" s="16"/>
      <c r="Y116" s="16">
        <v>0</v>
      </c>
      <c r="Z116" s="16"/>
      <c r="AA116" s="16">
        <v>0</v>
      </c>
      <c r="AB116" s="16"/>
      <c r="AC116" s="16">
        <v>0</v>
      </c>
      <c r="AD116" s="16"/>
      <c r="AE116" s="16">
        <f t="shared" si="3"/>
        <v>36301</v>
      </c>
    </row>
    <row r="117" spans="1:31" ht="12.75" customHeight="1">
      <c r="A117" s="1" t="s">
        <v>161</v>
      </c>
      <c r="B117" s="1"/>
      <c r="C117" s="30" t="s">
        <v>162</v>
      </c>
      <c r="D117" s="16"/>
      <c r="E117" s="16">
        <v>8711</v>
      </c>
      <c r="F117" s="16"/>
      <c r="G117" s="16">
        <v>0</v>
      </c>
      <c r="H117" s="16"/>
      <c r="I117" s="16">
        <f>2058+4946</f>
        <v>7004</v>
      </c>
      <c r="J117" s="16"/>
      <c r="K117" s="16">
        <v>0</v>
      </c>
      <c r="L117" s="16"/>
      <c r="M117" s="16">
        <v>0</v>
      </c>
      <c r="N117" s="16"/>
      <c r="O117" s="16">
        <v>1105</v>
      </c>
      <c r="P117" s="16"/>
      <c r="Q117" s="16">
        <v>0</v>
      </c>
      <c r="R117" s="16"/>
      <c r="S117" s="16">
        <f>69</f>
        <v>69</v>
      </c>
      <c r="T117" s="16"/>
      <c r="U117" s="16">
        <v>0</v>
      </c>
      <c r="V117" s="16"/>
      <c r="W117" s="16">
        <v>0</v>
      </c>
      <c r="X117" s="16"/>
      <c r="Y117" s="16">
        <v>0</v>
      </c>
      <c r="Z117" s="16"/>
      <c r="AA117" s="16">
        <v>0</v>
      </c>
      <c r="AB117" s="16"/>
      <c r="AC117" s="16">
        <v>0</v>
      </c>
      <c r="AD117" s="16"/>
      <c r="AE117" s="16">
        <f t="shared" si="3"/>
        <v>16889</v>
      </c>
    </row>
    <row r="118" spans="1:31" ht="12.75" customHeight="1">
      <c r="A118" s="1" t="s">
        <v>163</v>
      </c>
      <c r="B118" s="1"/>
      <c r="C118" s="1" t="s">
        <v>164</v>
      </c>
      <c r="D118" s="16"/>
      <c r="E118" s="16">
        <f>19996+27168</f>
        <v>47164</v>
      </c>
      <c r="F118" s="16"/>
      <c r="G118" s="16">
        <v>0</v>
      </c>
      <c r="H118" s="16"/>
      <c r="I118" s="16">
        <f>44497+248030</f>
        <v>292527</v>
      </c>
      <c r="J118" s="16"/>
      <c r="K118" s="16">
        <v>0</v>
      </c>
      <c r="L118" s="16"/>
      <c r="M118" s="16">
        <v>0</v>
      </c>
      <c r="N118" s="16"/>
      <c r="O118" s="16">
        <f>169394+1315</f>
        <v>170709</v>
      </c>
      <c r="P118" s="16"/>
      <c r="Q118" s="16">
        <f>2845+1167</f>
        <v>4012</v>
      </c>
      <c r="R118" s="16"/>
      <c r="S118" s="16">
        <f>-302+29265</f>
        <v>28963</v>
      </c>
      <c r="T118" s="16"/>
      <c r="U118" s="16">
        <v>0</v>
      </c>
      <c r="V118" s="16"/>
      <c r="W118" s="16">
        <v>0</v>
      </c>
      <c r="X118" s="16"/>
      <c r="Y118" s="16">
        <v>5706</v>
      </c>
      <c r="Z118" s="16"/>
      <c r="AA118" s="16">
        <v>0</v>
      </c>
      <c r="AB118" s="16"/>
      <c r="AC118" s="16">
        <v>0</v>
      </c>
      <c r="AD118" s="16"/>
      <c r="AE118" s="16">
        <f t="shared" si="3"/>
        <v>549081</v>
      </c>
    </row>
    <row r="119" spans="1:31" ht="12.75" customHeight="1">
      <c r="A119" s="1" t="s">
        <v>551</v>
      </c>
      <c r="C119" s="1" t="s">
        <v>210</v>
      </c>
      <c r="E119" s="16">
        <v>2306</v>
      </c>
      <c r="F119" s="16"/>
      <c r="G119" s="16">
        <v>0</v>
      </c>
      <c r="H119" s="16"/>
      <c r="I119" s="16">
        <v>89250</v>
      </c>
      <c r="J119" s="16"/>
      <c r="K119" s="16">
        <v>0</v>
      </c>
      <c r="L119" s="16"/>
      <c r="M119" s="16">
        <v>0</v>
      </c>
      <c r="N119" s="16"/>
      <c r="O119" s="16">
        <v>720</v>
      </c>
      <c r="P119" s="16"/>
      <c r="Q119" s="16">
        <v>141</v>
      </c>
      <c r="R119" s="16"/>
      <c r="S119" s="16">
        <v>3679</v>
      </c>
      <c r="T119" s="16"/>
      <c r="U119" s="16">
        <v>0</v>
      </c>
      <c r="V119" s="16"/>
      <c r="W119" s="16">
        <v>0</v>
      </c>
      <c r="X119" s="16"/>
      <c r="Y119" s="16">
        <v>0</v>
      </c>
      <c r="Z119" s="16"/>
      <c r="AA119" s="16">
        <v>0</v>
      </c>
      <c r="AB119" s="16"/>
      <c r="AC119" s="16">
        <v>0</v>
      </c>
      <c r="AD119" s="16"/>
      <c r="AE119" s="16">
        <f t="shared" si="3"/>
        <v>96096</v>
      </c>
    </row>
    <row r="120" spans="1:31" ht="12.75" customHeight="1">
      <c r="A120" s="1" t="s">
        <v>665</v>
      </c>
      <c r="C120" s="1" t="s">
        <v>309</v>
      </c>
      <c r="E120" s="16">
        <v>15209</v>
      </c>
      <c r="F120" s="16"/>
      <c r="G120" s="16">
        <v>0</v>
      </c>
      <c r="H120" s="16"/>
      <c r="I120" s="16">
        <v>42179</v>
      </c>
      <c r="J120" s="16"/>
      <c r="K120" s="16">
        <v>1876</v>
      </c>
      <c r="L120" s="16"/>
      <c r="M120" s="16">
        <v>1782</v>
      </c>
      <c r="N120" s="16"/>
      <c r="O120" s="16">
        <v>813</v>
      </c>
      <c r="P120" s="16"/>
      <c r="Q120" s="16">
        <v>400</v>
      </c>
      <c r="R120" s="16"/>
      <c r="S120" s="16">
        <v>510</v>
      </c>
      <c r="T120" s="16"/>
      <c r="U120" s="16">
        <v>0</v>
      </c>
      <c r="V120" s="16"/>
      <c r="W120" s="16">
        <v>0</v>
      </c>
      <c r="X120" s="16"/>
      <c r="Y120" s="16">
        <v>0</v>
      </c>
      <c r="Z120" s="16"/>
      <c r="AA120" s="16">
        <v>0</v>
      </c>
      <c r="AB120" s="16"/>
      <c r="AC120" s="16">
        <v>2227</v>
      </c>
      <c r="AD120" s="16"/>
      <c r="AE120" s="16">
        <f t="shared" si="3"/>
        <v>64996</v>
      </c>
    </row>
    <row r="121" spans="1:31" ht="12.75" customHeight="1">
      <c r="A121" s="1" t="s">
        <v>650</v>
      </c>
      <c r="C121" s="1" t="s">
        <v>167</v>
      </c>
      <c r="E121" s="16">
        <v>31279</v>
      </c>
      <c r="F121" s="16"/>
      <c r="G121" s="16">
        <v>0</v>
      </c>
      <c r="H121" s="16"/>
      <c r="I121" s="16">
        <v>177263</v>
      </c>
      <c r="J121" s="16"/>
      <c r="K121" s="16">
        <v>0</v>
      </c>
      <c r="L121" s="16"/>
      <c r="M121" s="16">
        <v>5476</v>
      </c>
      <c r="N121" s="16"/>
      <c r="O121" s="16">
        <v>325</v>
      </c>
      <c r="P121" s="16"/>
      <c r="Q121" s="16">
        <v>462</v>
      </c>
      <c r="R121" s="16"/>
      <c r="S121" s="16">
        <v>3932</v>
      </c>
      <c r="T121" s="16"/>
      <c r="U121" s="16">
        <v>754614</v>
      </c>
      <c r="V121" s="16"/>
      <c r="W121" s="16">
        <v>0</v>
      </c>
      <c r="X121" s="16"/>
      <c r="Y121" s="16">
        <v>0</v>
      </c>
      <c r="Z121" s="16"/>
      <c r="AA121" s="16">
        <v>0</v>
      </c>
      <c r="AB121" s="16"/>
      <c r="AC121" s="16">
        <v>0</v>
      </c>
      <c r="AD121" s="16"/>
      <c r="AE121" s="16">
        <f t="shared" si="3"/>
        <v>973351</v>
      </c>
    </row>
    <row r="122" spans="1:31" ht="12.75" customHeight="1">
      <c r="A122" s="1" t="s">
        <v>641</v>
      </c>
      <c r="C122" s="1" t="s">
        <v>274</v>
      </c>
      <c r="E122" s="16">
        <v>111197</v>
      </c>
      <c r="F122" s="16"/>
      <c r="G122" s="16">
        <v>0</v>
      </c>
      <c r="H122" s="16"/>
      <c r="I122" s="16">
        <v>117137</v>
      </c>
      <c r="J122" s="16"/>
      <c r="K122" s="16">
        <v>32793</v>
      </c>
      <c r="L122" s="16"/>
      <c r="M122" s="16">
        <v>0</v>
      </c>
      <c r="N122" s="16"/>
      <c r="O122" s="16">
        <v>1675</v>
      </c>
      <c r="P122" s="16"/>
      <c r="Q122" s="16">
        <v>1022</v>
      </c>
      <c r="R122" s="16"/>
      <c r="S122" s="16">
        <v>9301</v>
      </c>
      <c r="T122" s="16"/>
      <c r="U122" s="16">
        <v>0</v>
      </c>
      <c r="V122" s="16"/>
      <c r="W122" s="16">
        <v>0</v>
      </c>
      <c r="X122" s="16"/>
      <c r="Y122" s="16">
        <v>0</v>
      </c>
      <c r="Z122" s="16"/>
      <c r="AA122" s="16">
        <v>0</v>
      </c>
      <c r="AB122" s="16"/>
      <c r="AC122" s="16">
        <v>0</v>
      </c>
      <c r="AD122" s="16"/>
      <c r="AE122" s="16">
        <f t="shared" si="3"/>
        <v>273125</v>
      </c>
    </row>
    <row r="123" spans="1:31" ht="12.75" customHeight="1">
      <c r="A123" s="1" t="s">
        <v>485</v>
      </c>
      <c r="C123" s="1" t="s">
        <v>312</v>
      </c>
      <c r="E123" s="16">
        <v>43130</v>
      </c>
      <c r="F123" s="16"/>
      <c r="G123" s="16">
        <v>0</v>
      </c>
      <c r="H123" s="16"/>
      <c r="I123" s="16">
        <v>54105</v>
      </c>
      <c r="J123" s="16"/>
      <c r="K123" s="16">
        <v>0</v>
      </c>
      <c r="L123" s="16"/>
      <c r="M123" s="16">
        <v>8076</v>
      </c>
      <c r="N123" s="16"/>
      <c r="O123" s="16">
        <v>566</v>
      </c>
      <c r="P123" s="16"/>
      <c r="Q123" s="16">
        <v>4846</v>
      </c>
      <c r="R123" s="16"/>
      <c r="S123" s="16">
        <v>0</v>
      </c>
      <c r="T123" s="16"/>
      <c r="U123" s="16">
        <v>0</v>
      </c>
      <c r="V123" s="16"/>
      <c r="W123" s="16">
        <v>0</v>
      </c>
      <c r="X123" s="16"/>
      <c r="Y123" s="16">
        <v>0</v>
      </c>
      <c r="Z123" s="16"/>
      <c r="AA123" s="16">
        <v>0</v>
      </c>
      <c r="AB123" s="16"/>
      <c r="AC123" s="16">
        <v>0</v>
      </c>
      <c r="AD123" s="16"/>
      <c r="AE123" s="16">
        <f t="shared" si="3"/>
        <v>110723</v>
      </c>
    </row>
    <row r="124" spans="1:31" ht="12.75" customHeight="1">
      <c r="A124" s="1" t="s">
        <v>659</v>
      </c>
      <c r="C124" s="1" t="s">
        <v>80</v>
      </c>
      <c r="E124" s="16">
        <v>11976</v>
      </c>
      <c r="F124" s="16"/>
      <c r="G124" s="16">
        <v>0</v>
      </c>
      <c r="H124" s="16"/>
      <c r="I124" s="16">
        <v>63351</v>
      </c>
      <c r="J124" s="16"/>
      <c r="K124" s="16">
        <v>0</v>
      </c>
      <c r="L124" s="16"/>
      <c r="M124" s="16">
        <v>5075</v>
      </c>
      <c r="N124" s="16"/>
      <c r="O124" s="16">
        <v>973</v>
      </c>
      <c r="P124" s="16"/>
      <c r="Q124" s="16">
        <v>989</v>
      </c>
      <c r="R124" s="16"/>
      <c r="S124" s="16">
        <v>123</v>
      </c>
      <c r="T124" s="16"/>
      <c r="U124" s="16">
        <v>0</v>
      </c>
      <c r="V124" s="16"/>
      <c r="W124" s="16">
        <v>0</v>
      </c>
      <c r="X124" s="16"/>
      <c r="Y124" s="16">
        <v>238</v>
      </c>
      <c r="Z124" s="16"/>
      <c r="AA124" s="16">
        <v>2700</v>
      </c>
      <c r="AB124" s="16"/>
      <c r="AC124" s="16">
        <v>0</v>
      </c>
      <c r="AD124" s="16"/>
      <c r="AE124" s="16">
        <f t="shared" si="3"/>
        <v>85425</v>
      </c>
    </row>
    <row r="125" spans="1:31" ht="12.75" customHeight="1">
      <c r="A125" s="1" t="s">
        <v>714</v>
      </c>
      <c r="C125" s="1" t="s">
        <v>712</v>
      </c>
      <c r="E125" s="16">
        <v>8272</v>
      </c>
      <c r="F125" s="16"/>
      <c r="G125" s="16">
        <v>0</v>
      </c>
      <c r="H125" s="16"/>
      <c r="I125" s="16">
        <v>67096</v>
      </c>
      <c r="J125" s="16"/>
      <c r="K125" s="16">
        <v>0</v>
      </c>
      <c r="L125" s="16"/>
      <c r="M125" s="16">
        <v>0</v>
      </c>
      <c r="N125" s="16"/>
      <c r="O125" s="16">
        <v>6723</v>
      </c>
      <c r="P125" s="16"/>
      <c r="Q125" s="16">
        <v>3511</v>
      </c>
      <c r="R125" s="16"/>
      <c r="S125" s="16">
        <v>2481</v>
      </c>
      <c r="T125" s="16"/>
      <c r="U125" s="16">
        <v>0</v>
      </c>
      <c r="V125" s="16"/>
      <c r="W125" s="16">
        <v>0</v>
      </c>
      <c r="X125" s="16"/>
      <c r="Y125" s="16">
        <v>0</v>
      </c>
      <c r="Z125" s="16"/>
      <c r="AA125" s="16">
        <v>0</v>
      </c>
      <c r="AB125" s="16"/>
      <c r="AC125" s="16">
        <v>0</v>
      </c>
      <c r="AD125" s="16"/>
      <c r="AE125" s="16">
        <f t="shared" si="3"/>
        <v>88083</v>
      </c>
    </row>
    <row r="126" spans="1:31" ht="12.75" customHeight="1">
      <c r="A126" s="1" t="s">
        <v>499</v>
      </c>
      <c r="C126" s="1" t="s">
        <v>122</v>
      </c>
      <c r="E126" s="16">
        <v>22642</v>
      </c>
      <c r="F126" s="16"/>
      <c r="G126" s="16">
        <v>0</v>
      </c>
      <c r="H126" s="16"/>
      <c r="I126" s="16">
        <v>41520</v>
      </c>
      <c r="J126" s="16"/>
      <c r="K126" s="16">
        <v>6947</v>
      </c>
      <c r="L126" s="16"/>
      <c r="M126" s="16">
        <v>26521</v>
      </c>
      <c r="N126" s="16"/>
      <c r="O126" s="16">
        <v>0</v>
      </c>
      <c r="P126" s="16"/>
      <c r="Q126" s="16">
        <v>25</v>
      </c>
      <c r="R126" s="16"/>
      <c r="S126" s="16">
        <v>3169</v>
      </c>
      <c r="T126" s="16"/>
      <c r="U126" s="16">
        <v>0</v>
      </c>
      <c r="V126" s="16"/>
      <c r="W126" s="16">
        <v>0</v>
      </c>
      <c r="X126" s="16"/>
      <c r="Y126" s="16">
        <v>0</v>
      </c>
      <c r="Z126" s="16"/>
      <c r="AA126" s="16">
        <v>0</v>
      </c>
      <c r="AB126" s="16"/>
      <c r="AC126" s="16">
        <v>0</v>
      </c>
      <c r="AD126" s="16"/>
      <c r="AE126" s="16">
        <f t="shared" si="3"/>
        <v>100824</v>
      </c>
    </row>
    <row r="127" spans="1:31" ht="12.75" customHeight="1">
      <c r="A127" s="1" t="s">
        <v>673</v>
      </c>
      <c r="C127" s="1" t="s">
        <v>215</v>
      </c>
      <c r="E127" s="16">
        <v>9416</v>
      </c>
      <c r="F127" s="16"/>
      <c r="G127" s="16">
        <v>70520</v>
      </c>
      <c r="H127" s="16"/>
      <c r="I127" s="16">
        <v>809658</v>
      </c>
      <c r="J127" s="16"/>
      <c r="K127" s="16">
        <v>0</v>
      </c>
      <c r="L127" s="16"/>
      <c r="M127" s="16">
        <v>3900</v>
      </c>
      <c r="N127" s="16"/>
      <c r="O127" s="16">
        <v>1185</v>
      </c>
      <c r="P127" s="16"/>
      <c r="Q127" s="16">
        <v>2099</v>
      </c>
      <c r="R127" s="16"/>
      <c r="S127" s="16">
        <v>3345</v>
      </c>
      <c r="T127" s="16"/>
      <c r="U127" s="16">
        <v>0</v>
      </c>
      <c r="V127" s="16"/>
      <c r="W127" s="16">
        <v>4100</v>
      </c>
      <c r="X127" s="16"/>
      <c r="Y127" s="16">
        <v>78956</v>
      </c>
      <c r="Z127" s="16"/>
      <c r="AA127" s="16">
        <v>69419</v>
      </c>
      <c r="AB127" s="16"/>
      <c r="AC127" s="16">
        <v>359689</v>
      </c>
      <c r="AD127" s="16"/>
      <c r="AE127" s="16">
        <f t="shared" si="3"/>
        <v>1412287</v>
      </c>
    </row>
    <row r="128" spans="1:31" ht="12.75" customHeight="1">
      <c r="A128" s="1" t="s">
        <v>564</v>
      </c>
      <c r="C128" s="1" t="s">
        <v>73</v>
      </c>
      <c r="E128" s="16">
        <v>545876</v>
      </c>
      <c r="F128" s="16"/>
      <c r="G128" s="16">
        <v>0</v>
      </c>
      <c r="H128" s="16"/>
      <c r="I128" s="16">
        <v>237434</v>
      </c>
      <c r="J128" s="16"/>
      <c r="K128" s="16">
        <v>0</v>
      </c>
      <c r="L128" s="16"/>
      <c r="M128" s="16">
        <v>42108</v>
      </c>
      <c r="N128" s="16"/>
      <c r="O128" s="16">
        <v>173892</v>
      </c>
      <c r="P128" s="16"/>
      <c r="Q128" s="16">
        <v>8647</v>
      </c>
      <c r="R128" s="16"/>
      <c r="S128" s="16">
        <v>129101</v>
      </c>
      <c r="T128" s="16"/>
      <c r="U128" s="16">
        <v>400000</v>
      </c>
      <c r="V128" s="16"/>
      <c r="W128" s="16">
        <v>84503</v>
      </c>
      <c r="X128" s="16"/>
      <c r="Y128" s="16">
        <v>9500</v>
      </c>
      <c r="Z128" s="16"/>
      <c r="AA128" s="16">
        <v>0</v>
      </c>
      <c r="AB128" s="16"/>
      <c r="AC128" s="16">
        <v>0</v>
      </c>
      <c r="AD128" s="16"/>
      <c r="AE128" s="16">
        <f t="shared" si="3"/>
        <v>1631061</v>
      </c>
    </row>
    <row r="129" spans="1:31" ht="12.75" customHeight="1">
      <c r="A129" s="1" t="s">
        <v>438</v>
      </c>
      <c r="B129" s="1"/>
      <c r="C129" s="1" t="s">
        <v>439</v>
      </c>
      <c r="D129" s="16"/>
      <c r="E129" s="16">
        <v>14998</v>
      </c>
      <c r="F129" s="16"/>
      <c r="G129" s="16">
        <v>0</v>
      </c>
      <c r="H129" s="16"/>
      <c r="I129" s="16">
        <v>17041</v>
      </c>
      <c r="J129" s="16"/>
      <c r="K129" s="16">
        <v>0</v>
      </c>
      <c r="L129" s="16"/>
      <c r="M129" s="16">
        <v>0</v>
      </c>
      <c r="N129" s="16"/>
      <c r="O129" s="16">
        <v>25</v>
      </c>
      <c r="P129" s="16"/>
      <c r="Q129" s="16">
        <v>78</v>
      </c>
      <c r="R129" s="16"/>
      <c r="S129" s="16">
        <f>11618+1680</f>
        <v>13298</v>
      </c>
      <c r="T129" s="16"/>
      <c r="U129" s="16">
        <v>0</v>
      </c>
      <c r="V129" s="16"/>
      <c r="W129" s="16">
        <v>0</v>
      </c>
      <c r="X129" s="16"/>
      <c r="Y129" s="16">
        <v>0</v>
      </c>
      <c r="Z129" s="16"/>
      <c r="AA129" s="16">
        <v>0</v>
      </c>
      <c r="AB129" s="16"/>
      <c r="AC129" s="16">
        <v>0</v>
      </c>
      <c r="AD129" s="16"/>
      <c r="AE129" s="16">
        <f t="shared" si="3"/>
        <v>45440</v>
      </c>
    </row>
    <row r="130" spans="1:31" ht="12.75" customHeight="1">
      <c r="A130" s="1" t="s">
        <v>122</v>
      </c>
      <c r="B130" s="1"/>
      <c r="C130" s="1" t="s">
        <v>129</v>
      </c>
      <c r="D130" s="16"/>
      <c r="E130" s="16">
        <f>69551+200096</f>
        <v>269647</v>
      </c>
      <c r="F130" s="16"/>
      <c r="G130" s="16">
        <v>0</v>
      </c>
      <c r="H130" s="16"/>
      <c r="I130" s="16">
        <f>96786+92027+96293</f>
        <v>285106</v>
      </c>
      <c r="J130" s="16"/>
      <c r="K130" s="16">
        <v>0</v>
      </c>
      <c r="L130" s="16"/>
      <c r="M130" s="16">
        <f>651+13572</f>
        <v>14223</v>
      </c>
      <c r="N130" s="16"/>
      <c r="O130" s="16">
        <f>7862+316</f>
        <v>8178</v>
      </c>
      <c r="P130" s="16"/>
      <c r="Q130" s="16">
        <f>2632</f>
        <v>2632</v>
      </c>
      <c r="R130" s="16"/>
      <c r="S130" s="16">
        <f>5000+225</f>
        <v>5225</v>
      </c>
      <c r="T130" s="16"/>
      <c r="U130" s="16">
        <v>0</v>
      </c>
      <c r="V130" s="16"/>
      <c r="W130" s="16">
        <v>6550</v>
      </c>
      <c r="X130" s="16"/>
      <c r="Y130" s="16">
        <v>151483</v>
      </c>
      <c r="Z130" s="16"/>
      <c r="AA130" s="16">
        <v>0</v>
      </c>
      <c r="AB130" s="16"/>
      <c r="AC130" s="16">
        <v>0</v>
      </c>
      <c r="AD130" s="16"/>
      <c r="AE130" s="16">
        <f t="shared" si="3"/>
        <v>743044</v>
      </c>
    </row>
    <row r="131" spans="1:31" ht="12.75" customHeight="1">
      <c r="A131" s="1" t="s">
        <v>165</v>
      </c>
      <c r="B131" s="1"/>
      <c r="C131" s="1" t="s">
        <v>110</v>
      </c>
      <c r="D131" s="16"/>
      <c r="E131" s="16">
        <v>5348</v>
      </c>
      <c r="F131" s="16"/>
      <c r="G131" s="16">
        <v>0</v>
      </c>
      <c r="H131" s="16"/>
      <c r="I131" s="16">
        <f>39440+8961+1</f>
        <v>48402</v>
      </c>
      <c r="J131" s="16"/>
      <c r="K131" s="16">
        <v>0</v>
      </c>
      <c r="L131" s="16"/>
      <c r="M131" s="16">
        <v>0</v>
      </c>
      <c r="N131" s="16"/>
      <c r="O131" s="16">
        <v>15</v>
      </c>
      <c r="P131" s="16"/>
      <c r="Q131" s="16">
        <f>1712+71</f>
        <v>1783</v>
      </c>
      <c r="R131" s="16"/>
      <c r="S131" s="16">
        <v>3092</v>
      </c>
      <c r="T131" s="16"/>
      <c r="U131" s="16">
        <v>0</v>
      </c>
      <c r="V131" s="16"/>
      <c r="W131" s="16">
        <v>0</v>
      </c>
      <c r="X131" s="16"/>
      <c r="Y131" s="16">
        <v>0</v>
      </c>
      <c r="Z131" s="16"/>
      <c r="AA131" s="16">
        <v>0</v>
      </c>
      <c r="AB131" s="16"/>
      <c r="AC131" s="16">
        <v>0</v>
      </c>
      <c r="AD131" s="16"/>
      <c r="AE131" s="16">
        <f t="shared" si="3"/>
        <v>58640</v>
      </c>
    </row>
    <row r="132" spans="1:31" ht="12.75" customHeight="1">
      <c r="A132" s="1" t="s">
        <v>608</v>
      </c>
      <c r="C132" s="1" t="s">
        <v>164</v>
      </c>
      <c r="E132" s="16">
        <v>47014</v>
      </c>
      <c r="F132" s="16"/>
      <c r="G132" s="16">
        <v>184431</v>
      </c>
      <c r="H132" s="16"/>
      <c r="I132" s="16">
        <v>200565</v>
      </c>
      <c r="J132" s="16"/>
      <c r="K132" s="16">
        <v>0</v>
      </c>
      <c r="L132" s="16"/>
      <c r="M132" s="16">
        <v>1540</v>
      </c>
      <c r="N132" s="16"/>
      <c r="O132" s="16">
        <v>67383</v>
      </c>
      <c r="P132" s="16"/>
      <c r="Q132" s="16">
        <v>0</v>
      </c>
      <c r="R132" s="16"/>
      <c r="S132" s="16">
        <v>144568</v>
      </c>
      <c r="T132" s="16"/>
      <c r="U132" s="16">
        <v>0</v>
      </c>
      <c r="V132" s="16"/>
      <c r="W132" s="16">
        <v>0</v>
      </c>
      <c r="X132" s="16"/>
      <c r="Y132" s="16">
        <v>0</v>
      </c>
      <c r="Z132" s="16"/>
      <c r="AA132" s="16">
        <v>0</v>
      </c>
      <c r="AB132" s="16"/>
      <c r="AC132" s="16">
        <v>0</v>
      </c>
      <c r="AD132" s="16"/>
      <c r="AE132" s="16">
        <f t="shared" si="3"/>
        <v>645501</v>
      </c>
    </row>
    <row r="133" spans="1:31" ht="12.75" customHeight="1">
      <c r="A133" s="1" t="s">
        <v>166</v>
      </c>
      <c r="B133" s="1"/>
      <c r="C133" s="1" t="s">
        <v>167</v>
      </c>
      <c r="D133" s="16"/>
      <c r="E133" s="16">
        <v>1146586</v>
      </c>
      <c r="F133" s="16"/>
      <c r="G133" s="16">
        <v>0</v>
      </c>
      <c r="H133" s="16"/>
      <c r="I133" s="16">
        <v>476869</v>
      </c>
      <c r="J133" s="16"/>
      <c r="K133" s="16">
        <v>16537</v>
      </c>
      <c r="L133" s="16"/>
      <c r="M133" s="16">
        <v>0</v>
      </c>
      <c r="N133" s="16"/>
      <c r="O133" s="16">
        <v>5351</v>
      </c>
      <c r="P133" s="16"/>
      <c r="Q133" s="16">
        <v>0</v>
      </c>
      <c r="R133" s="16"/>
      <c r="S133" s="16">
        <v>197742</v>
      </c>
      <c r="T133" s="16"/>
      <c r="U133" s="16">
        <v>250000</v>
      </c>
      <c r="V133" s="16"/>
      <c r="W133" s="16">
        <v>25831</v>
      </c>
      <c r="X133" s="16"/>
      <c r="Y133" s="16">
        <v>588125</v>
      </c>
      <c r="Z133" s="16"/>
      <c r="AA133" s="16">
        <v>0</v>
      </c>
      <c r="AB133" s="16"/>
      <c r="AC133" s="16">
        <v>2504</v>
      </c>
      <c r="AD133" s="16"/>
      <c r="AE133" s="16">
        <f t="shared" si="3"/>
        <v>2709545</v>
      </c>
    </row>
    <row r="134" spans="1:31" ht="12.75" customHeight="1">
      <c r="A134" s="1" t="s">
        <v>696</v>
      </c>
      <c r="C134" s="1" t="s">
        <v>225</v>
      </c>
      <c r="E134" s="16">
        <v>25785</v>
      </c>
      <c r="F134" s="16"/>
      <c r="G134" s="16">
        <v>0</v>
      </c>
      <c r="H134" s="16"/>
      <c r="I134" s="16">
        <v>71112</v>
      </c>
      <c r="J134" s="16"/>
      <c r="K134" s="16">
        <v>0</v>
      </c>
      <c r="L134" s="16"/>
      <c r="M134" s="16">
        <v>106</v>
      </c>
      <c r="N134" s="16"/>
      <c r="O134" s="16">
        <v>3335</v>
      </c>
      <c r="P134" s="16"/>
      <c r="Q134" s="16">
        <v>4140</v>
      </c>
      <c r="R134" s="16"/>
      <c r="S134" s="16">
        <v>0</v>
      </c>
      <c r="T134" s="16"/>
      <c r="U134" s="16">
        <v>0</v>
      </c>
      <c r="V134" s="16"/>
      <c r="W134" s="16">
        <v>0</v>
      </c>
      <c r="X134" s="16"/>
      <c r="Y134" s="16">
        <v>0</v>
      </c>
      <c r="Z134" s="16"/>
      <c r="AA134" s="16">
        <v>0</v>
      </c>
      <c r="AB134" s="16"/>
      <c r="AC134" s="16">
        <v>0</v>
      </c>
      <c r="AD134" s="16"/>
      <c r="AE134" s="16">
        <f t="shared" si="3"/>
        <v>104478</v>
      </c>
    </row>
    <row r="135" spans="1:31" ht="12.75" customHeight="1">
      <c r="A135" s="1" t="s">
        <v>168</v>
      </c>
      <c r="B135" s="1"/>
      <c r="C135" s="1" t="s">
        <v>110</v>
      </c>
      <c r="D135" s="16"/>
      <c r="E135" s="16">
        <f>70081+85375</f>
        <v>155456</v>
      </c>
      <c r="F135" s="16"/>
      <c r="G135" s="16">
        <v>251951</v>
      </c>
      <c r="H135" s="16"/>
      <c r="I135" s="16">
        <f>111766+99169</f>
        <v>210935</v>
      </c>
      <c r="J135" s="16"/>
      <c r="K135" s="16">
        <v>11926</v>
      </c>
      <c r="L135" s="16"/>
      <c r="M135" s="16">
        <f>54841+8263</f>
        <v>63104</v>
      </c>
      <c r="N135" s="16"/>
      <c r="O135" s="16">
        <f>1290+21934</f>
        <v>23224</v>
      </c>
      <c r="P135" s="16"/>
      <c r="Q135" s="16">
        <f>9120+247</f>
        <v>9367</v>
      </c>
      <c r="R135" s="16"/>
      <c r="S135" s="16">
        <f>10203+67873+15557+2841</f>
        <v>96474</v>
      </c>
      <c r="T135" s="16"/>
      <c r="U135" s="16">
        <v>650000</v>
      </c>
      <c r="V135" s="16"/>
      <c r="W135" s="16">
        <v>0</v>
      </c>
      <c r="X135" s="16"/>
      <c r="Y135" s="16">
        <v>125868</v>
      </c>
      <c r="Z135" s="16"/>
      <c r="AA135" s="16">
        <v>14323</v>
      </c>
      <c r="AB135" s="16"/>
      <c r="AC135" s="16">
        <v>5000</v>
      </c>
      <c r="AD135" s="16"/>
      <c r="AE135" s="16">
        <f t="shared" si="3"/>
        <v>1617628</v>
      </c>
    </row>
    <row r="136" spans="1:31" ht="12.75" customHeight="1">
      <c r="A136" s="16" t="s">
        <v>786</v>
      </c>
      <c r="B136" s="41"/>
      <c r="C136" s="16" t="s">
        <v>184</v>
      </c>
      <c r="D136" s="16"/>
      <c r="E136" s="16">
        <v>68487</v>
      </c>
      <c r="F136" s="16"/>
      <c r="G136" s="16">
        <v>0</v>
      </c>
      <c r="H136" s="16"/>
      <c r="I136" s="16">
        <v>61395</v>
      </c>
      <c r="J136" s="16"/>
      <c r="K136" s="16">
        <v>2793</v>
      </c>
      <c r="L136" s="16"/>
      <c r="M136" s="16">
        <v>103914</v>
      </c>
      <c r="N136" s="16"/>
      <c r="O136" s="16">
        <v>33854</v>
      </c>
      <c r="P136" s="16"/>
      <c r="Q136" s="16">
        <v>24400</v>
      </c>
      <c r="R136" s="16"/>
      <c r="S136" s="16">
        <v>8605</v>
      </c>
      <c r="T136" s="16"/>
      <c r="U136" s="16">
        <v>0</v>
      </c>
      <c r="V136" s="16"/>
      <c r="W136" s="16">
        <v>0</v>
      </c>
      <c r="X136" s="16"/>
      <c r="Y136" s="16">
        <v>315</v>
      </c>
      <c r="Z136" s="16"/>
      <c r="AA136" s="16">
        <v>0</v>
      </c>
      <c r="AB136" s="16"/>
      <c r="AC136" s="16">
        <v>0</v>
      </c>
      <c r="AD136" s="16"/>
      <c r="AE136" s="16">
        <f t="shared" si="3"/>
        <v>303763</v>
      </c>
    </row>
    <row r="137" spans="1:31" ht="12.75" customHeight="1">
      <c r="A137" s="1" t="s">
        <v>784</v>
      </c>
      <c r="B137" s="1"/>
      <c r="E137" s="1"/>
      <c r="F137" s="1"/>
      <c r="G137" s="1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20"/>
      <c r="AC137" s="16"/>
      <c r="AD137" s="20"/>
      <c r="AE137" s="32" t="s">
        <v>785</v>
      </c>
    </row>
    <row r="138" spans="1:31" s="36" customFormat="1" ht="12.75" customHeight="1">
      <c r="A138" s="36" t="s">
        <v>169</v>
      </c>
      <c r="C138" s="36" t="s">
        <v>170</v>
      </c>
      <c r="E138" s="36">
        <v>13598</v>
      </c>
      <c r="G138" s="36">
        <v>0</v>
      </c>
      <c r="I138" s="36">
        <v>25528</v>
      </c>
      <c r="K138" s="36">
        <v>0</v>
      </c>
      <c r="M138" s="36">
        <v>0</v>
      </c>
      <c r="O138" s="36">
        <v>0</v>
      </c>
      <c r="Q138" s="36">
        <v>218</v>
      </c>
      <c r="S138" s="36">
        <v>597</v>
      </c>
      <c r="U138" s="36">
        <v>0</v>
      </c>
      <c r="W138" s="36">
        <v>0</v>
      </c>
      <c r="Y138" s="36">
        <v>0</v>
      </c>
      <c r="AA138" s="36">
        <v>0</v>
      </c>
      <c r="AC138" s="36">
        <v>0</v>
      </c>
      <c r="AE138" s="36">
        <f aca="true" t="shared" si="4" ref="AE138:AE169">SUM(E138:AC138)</f>
        <v>39941</v>
      </c>
    </row>
    <row r="139" spans="1:31" ht="12.75" customHeight="1">
      <c r="A139" s="1" t="s">
        <v>761</v>
      </c>
      <c r="C139" s="1" t="s">
        <v>84</v>
      </c>
      <c r="E139" s="16">
        <v>14821</v>
      </c>
      <c r="F139" s="16"/>
      <c r="G139" s="16">
        <v>0</v>
      </c>
      <c r="H139" s="16"/>
      <c r="I139" s="16">
        <v>13483</v>
      </c>
      <c r="J139" s="16"/>
      <c r="K139" s="16">
        <v>0</v>
      </c>
      <c r="L139" s="16"/>
      <c r="M139" s="16">
        <v>0</v>
      </c>
      <c r="N139" s="16"/>
      <c r="O139" s="16">
        <v>0</v>
      </c>
      <c r="P139" s="16"/>
      <c r="Q139" s="16">
        <v>87</v>
      </c>
      <c r="R139" s="16"/>
      <c r="S139" s="16">
        <v>29</v>
      </c>
      <c r="T139" s="16"/>
      <c r="U139" s="16">
        <v>0</v>
      </c>
      <c r="V139" s="16"/>
      <c r="W139" s="16">
        <v>0</v>
      </c>
      <c r="X139" s="16"/>
      <c r="Y139" s="16">
        <v>7456</v>
      </c>
      <c r="Z139" s="16"/>
      <c r="AA139" s="16">
        <v>2800</v>
      </c>
      <c r="AB139" s="16"/>
      <c r="AC139" s="16">
        <v>0</v>
      </c>
      <c r="AD139" s="16"/>
      <c r="AE139" s="16">
        <f t="shared" si="4"/>
        <v>38676</v>
      </c>
    </row>
    <row r="140" spans="1:31" ht="12.75" customHeight="1">
      <c r="A140" s="1" t="s">
        <v>701</v>
      </c>
      <c r="C140" s="1" t="s">
        <v>110</v>
      </c>
      <c r="E140" s="16">
        <v>132491</v>
      </c>
      <c r="F140" s="16"/>
      <c r="G140" s="16">
        <v>0</v>
      </c>
      <c r="H140" s="16"/>
      <c r="I140" s="16">
        <v>281464</v>
      </c>
      <c r="J140" s="16"/>
      <c r="K140" s="16">
        <v>0</v>
      </c>
      <c r="L140" s="16"/>
      <c r="M140" s="16">
        <v>43665</v>
      </c>
      <c r="N140" s="16"/>
      <c r="O140" s="16">
        <v>4121</v>
      </c>
      <c r="P140" s="16"/>
      <c r="Q140" s="16">
        <v>1505</v>
      </c>
      <c r="R140" s="16"/>
      <c r="S140" s="16">
        <v>13425</v>
      </c>
      <c r="T140" s="16"/>
      <c r="U140" s="16">
        <v>538938</v>
      </c>
      <c r="V140" s="16"/>
      <c r="W140" s="16">
        <v>1675</v>
      </c>
      <c r="X140" s="16"/>
      <c r="Y140" s="16">
        <v>13531</v>
      </c>
      <c r="Z140" s="16"/>
      <c r="AA140" s="16">
        <v>8350</v>
      </c>
      <c r="AB140" s="16"/>
      <c r="AC140" s="16">
        <v>0</v>
      </c>
      <c r="AD140" s="16"/>
      <c r="AE140" s="16">
        <f t="shared" si="4"/>
        <v>1039165</v>
      </c>
    </row>
    <row r="141" spans="1:31" ht="12.75" customHeight="1">
      <c r="A141" s="1" t="s">
        <v>748</v>
      </c>
      <c r="C141" s="1" t="s">
        <v>192</v>
      </c>
      <c r="E141" s="16">
        <v>80189</v>
      </c>
      <c r="F141" s="16"/>
      <c r="G141" s="16">
        <v>134295</v>
      </c>
      <c r="H141" s="16"/>
      <c r="I141" s="16">
        <v>250769</v>
      </c>
      <c r="J141" s="16"/>
      <c r="K141" s="16">
        <v>0</v>
      </c>
      <c r="L141" s="16"/>
      <c r="M141" s="16">
        <v>47677</v>
      </c>
      <c r="N141" s="16"/>
      <c r="O141" s="16">
        <v>585</v>
      </c>
      <c r="P141" s="16"/>
      <c r="Q141" s="16">
        <v>20390</v>
      </c>
      <c r="R141" s="16"/>
      <c r="S141" s="16">
        <v>24894</v>
      </c>
      <c r="T141" s="16"/>
      <c r="U141" s="16">
        <v>0</v>
      </c>
      <c r="V141" s="16"/>
      <c r="W141" s="16">
        <v>0</v>
      </c>
      <c r="X141" s="16"/>
      <c r="Y141" s="16">
        <v>2021</v>
      </c>
      <c r="Z141" s="16"/>
      <c r="AA141" s="16">
        <v>0</v>
      </c>
      <c r="AB141" s="16"/>
      <c r="AC141" s="16">
        <v>0</v>
      </c>
      <c r="AD141" s="16"/>
      <c r="AE141" s="16">
        <f t="shared" si="4"/>
        <v>560820</v>
      </c>
    </row>
    <row r="142" spans="1:31" ht="12.75" customHeight="1">
      <c r="A142" s="1" t="s">
        <v>682</v>
      </c>
      <c r="C142" s="1" t="s">
        <v>179</v>
      </c>
      <c r="E142" s="16">
        <v>62053</v>
      </c>
      <c r="F142" s="16"/>
      <c r="G142" s="16">
        <v>0</v>
      </c>
      <c r="H142" s="16"/>
      <c r="I142" s="16">
        <v>84751</v>
      </c>
      <c r="J142" s="16"/>
      <c r="K142" s="16">
        <v>15000</v>
      </c>
      <c r="L142" s="16"/>
      <c r="M142" s="16">
        <v>66990</v>
      </c>
      <c r="N142" s="16"/>
      <c r="O142" s="16">
        <v>19339</v>
      </c>
      <c r="P142" s="16"/>
      <c r="Q142" s="16">
        <v>917</v>
      </c>
      <c r="R142" s="16"/>
      <c r="S142" s="16">
        <v>1852</v>
      </c>
      <c r="T142" s="16"/>
      <c r="U142" s="16">
        <v>0</v>
      </c>
      <c r="V142" s="16"/>
      <c r="W142" s="16">
        <v>910</v>
      </c>
      <c r="X142" s="16"/>
      <c r="Y142" s="16">
        <v>7384</v>
      </c>
      <c r="Z142" s="16"/>
      <c r="AA142" s="16">
        <v>10000</v>
      </c>
      <c r="AB142" s="16"/>
      <c r="AC142" s="16">
        <v>17343</v>
      </c>
      <c r="AD142" s="16"/>
      <c r="AE142" s="16">
        <f t="shared" si="4"/>
        <v>286539</v>
      </c>
    </row>
    <row r="143" spans="1:31" ht="12.75" customHeight="1">
      <c r="A143" s="1" t="s">
        <v>171</v>
      </c>
      <c r="B143" s="1"/>
      <c r="C143" s="1" t="s">
        <v>172</v>
      </c>
      <c r="D143" s="16"/>
      <c r="E143" s="16">
        <v>29233</v>
      </c>
      <c r="F143" s="16"/>
      <c r="G143" s="16">
        <v>0</v>
      </c>
      <c r="H143" s="16"/>
      <c r="I143" s="16">
        <v>16707</v>
      </c>
      <c r="J143" s="16"/>
      <c r="K143" s="16">
        <v>0</v>
      </c>
      <c r="L143" s="16"/>
      <c r="M143" s="16">
        <v>0</v>
      </c>
      <c r="N143" s="16"/>
      <c r="O143" s="16">
        <v>1372</v>
      </c>
      <c r="P143" s="16"/>
      <c r="Q143" s="16">
        <v>317</v>
      </c>
      <c r="R143" s="16"/>
      <c r="S143" s="16">
        <v>0</v>
      </c>
      <c r="T143" s="16"/>
      <c r="U143" s="16">
        <v>0</v>
      </c>
      <c r="V143" s="16"/>
      <c r="W143" s="16">
        <v>0</v>
      </c>
      <c r="X143" s="16"/>
      <c r="Y143" s="16">
        <v>0</v>
      </c>
      <c r="Z143" s="16"/>
      <c r="AA143" s="16">
        <v>0</v>
      </c>
      <c r="AB143" s="16"/>
      <c r="AC143" s="16">
        <v>0</v>
      </c>
      <c r="AD143" s="16"/>
      <c r="AE143" s="16">
        <f t="shared" si="4"/>
        <v>47629</v>
      </c>
    </row>
    <row r="144" spans="1:31" ht="12.75" customHeight="1">
      <c r="A144" s="1" t="s">
        <v>173</v>
      </c>
      <c r="B144" s="1"/>
      <c r="C144" s="1" t="s">
        <v>155</v>
      </c>
      <c r="D144" s="16"/>
      <c r="E144" s="16">
        <v>297824</v>
      </c>
      <c r="F144" s="16"/>
      <c r="G144" s="16">
        <v>158172</v>
      </c>
      <c r="H144" s="16"/>
      <c r="I144" s="16">
        <f>36562+110304+44314+2</f>
        <v>191182</v>
      </c>
      <c r="J144" s="16"/>
      <c r="K144" s="16">
        <v>3417</v>
      </c>
      <c r="L144" s="16"/>
      <c r="M144" s="16">
        <v>16268</v>
      </c>
      <c r="N144" s="16"/>
      <c r="O144" s="16">
        <v>2571</v>
      </c>
      <c r="P144" s="16"/>
      <c r="Q144" s="16">
        <v>366</v>
      </c>
      <c r="R144" s="16"/>
      <c r="S144" s="16">
        <v>21511</v>
      </c>
      <c r="T144" s="16"/>
      <c r="U144" s="16">
        <v>0</v>
      </c>
      <c r="V144" s="16"/>
      <c r="W144" s="16">
        <v>0</v>
      </c>
      <c r="X144" s="16"/>
      <c r="Y144" s="16">
        <v>585000</v>
      </c>
      <c r="Z144" s="16"/>
      <c r="AA144" s="16">
        <v>0</v>
      </c>
      <c r="AB144" s="16"/>
      <c r="AC144" s="16">
        <v>0</v>
      </c>
      <c r="AD144" s="16"/>
      <c r="AE144" s="16">
        <f t="shared" si="4"/>
        <v>1276311</v>
      </c>
    </row>
    <row r="145" spans="1:31" ht="12.75" customHeight="1">
      <c r="A145" s="1" t="s">
        <v>631</v>
      </c>
      <c r="C145" s="1" t="s">
        <v>378</v>
      </c>
      <c r="E145" s="16">
        <v>36487</v>
      </c>
      <c r="F145" s="16"/>
      <c r="G145" s="16">
        <v>0</v>
      </c>
      <c r="H145" s="16"/>
      <c r="I145" s="16">
        <v>81791</v>
      </c>
      <c r="J145" s="16"/>
      <c r="K145" s="16">
        <v>98158</v>
      </c>
      <c r="L145" s="16"/>
      <c r="M145" s="16">
        <v>424</v>
      </c>
      <c r="N145" s="16"/>
      <c r="O145" s="16">
        <v>15740</v>
      </c>
      <c r="P145" s="16"/>
      <c r="Q145" s="16">
        <v>341</v>
      </c>
      <c r="R145" s="16"/>
      <c r="S145" s="16">
        <v>41487</v>
      </c>
      <c r="T145" s="16"/>
      <c r="U145" s="16">
        <v>0</v>
      </c>
      <c r="V145" s="16"/>
      <c r="W145" s="16">
        <v>0</v>
      </c>
      <c r="X145" s="16"/>
      <c r="Y145" s="16">
        <v>0</v>
      </c>
      <c r="Z145" s="16"/>
      <c r="AA145" s="16">
        <v>20259</v>
      </c>
      <c r="AB145" s="16"/>
      <c r="AC145" s="16">
        <v>0</v>
      </c>
      <c r="AD145" s="16"/>
      <c r="AE145" s="16">
        <f t="shared" si="4"/>
        <v>294687</v>
      </c>
    </row>
    <row r="146" spans="1:31" ht="12.75" customHeight="1">
      <c r="A146" s="1" t="s">
        <v>174</v>
      </c>
      <c r="B146" s="1"/>
      <c r="C146" s="1" t="s">
        <v>175</v>
      </c>
      <c r="D146" s="16"/>
      <c r="E146" s="16">
        <v>168310</v>
      </c>
      <c r="F146" s="16"/>
      <c r="G146" s="16">
        <v>335724</v>
      </c>
      <c r="H146" s="16"/>
      <c r="I146" s="16">
        <v>382590</v>
      </c>
      <c r="J146" s="16"/>
      <c r="K146" s="16">
        <v>0</v>
      </c>
      <c r="L146" s="16"/>
      <c r="M146" s="16">
        <f>103473+15994</f>
        <v>119467</v>
      </c>
      <c r="N146" s="16"/>
      <c r="O146" s="16">
        <v>18115</v>
      </c>
      <c r="P146" s="16"/>
      <c r="Q146" s="16">
        <v>6586</v>
      </c>
      <c r="R146" s="16"/>
      <c r="S146" s="16">
        <v>34049</v>
      </c>
      <c r="T146" s="16"/>
      <c r="U146" s="16">
        <v>0</v>
      </c>
      <c r="V146" s="16"/>
      <c r="W146" s="16">
        <v>0</v>
      </c>
      <c r="X146" s="16"/>
      <c r="Y146" s="16">
        <v>180024</v>
      </c>
      <c r="Z146" s="16"/>
      <c r="AA146" s="16">
        <v>0</v>
      </c>
      <c r="AB146" s="16"/>
      <c r="AC146" s="16">
        <v>171746</v>
      </c>
      <c r="AD146" s="16"/>
      <c r="AE146" s="16">
        <f t="shared" si="4"/>
        <v>1416611</v>
      </c>
    </row>
    <row r="147" spans="1:31" ht="12.75" customHeight="1">
      <c r="A147" s="1" t="s">
        <v>176</v>
      </c>
      <c r="B147" s="1"/>
      <c r="C147" s="1" t="s">
        <v>177</v>
      </c>
      <c r="E147" s="16">
        <f>103183+53712</f>
        <v>156895</v>
      </c>
      <c r="F147" s="16"/>
      <c r="G147" s="16">
        <f>124381+3530</f>
        <v>127911</v>
      </c>
      <c r="H147" s="16"/>
      <c r="I147" s="16">
        <f>198480+72870+30596</f>
        <v>301946</v>
      </c>
      <c r="J147" s="16"/>
      <c r="K147" s="16">
        <v>0</v>
      </c>
      <c r="L147" s="16"/>
      <c r="M147" s="16">
        <v>53301</v>
      </c>
      <c r="N147" s="16"/>
      <c r="O147" s="16">
        <f>20538+3004</f>
        <v>23542</v>
      </c>
      <c r="P147" s="16"/>
      <c r="Q147" s="16">
        <v>2619</v>
      </c>
      <c r="R147" s="16"/>
      <c r="S147" s="16">
        <f>10779+200</f>
        <v>10979</v>
      </c>
      <c r="T147" s="16"/>
      <c r="U147" s="16">
        <v>0</v>
      </c>
      <c r="V147" s="16"/>
      <c r="W147" s="16">
        <v>0</v>
      </c>
      <c r="X147" s="16"/>
      <c r="Y147" s="16">
        <v>40002</v>
      </c>
      <c r="Z147" s="16"/>
      <c r="AA147" s="16">
        <v>0</v>
      </c>
      <c r="AB147" s="16"/>
      <c r="AC147" s="16">
        <v>0</v>
      </c>
      <c r="AD147" s="16"/>
      <c r="AE147" s="16">
        <f t="shared" si="4"/>
        <v>717195</v>
      </c>
    </row>
    <row r="148" spans="1:31" ht="12.75" customHeight="1">
      <c r="A148" s="1" t="s">
        <v>178</v>
      </c>
      <c r="B148" s="1"/>
      <c r="C148" s="1" t="s">
        <v>179</v>
      </c>
      <c r="D148" s="16"/>
      <c r="E148" s="16">
        <f>23920+563083</f>
        <v>587003</v>
      </c>
      <c r="F148" s="16"/>
      <c r="G148" s="16">
        <v>0</v>
      </c>
      <c r="H148" s="16"/>
      <c r="I148" s="16">
        <f>117116+194008</f>
        <v>311124</v>
      </c>
      <c r="J148" s="16"/>
      <c r="K148" s="16">
        <v>0</v>
      </c>
      <c r="L148" s="16"/>
      <c r="M148" s="16">
        <f>16338+197273</f>
        <v>213611</v>
      </c>
      <c r="N148" s="16"/>
      <c r="O148" s="16">
        <f>13590+7170</f>
        <v>20760</v>
      </c>
      <c r="P148" s="16"/>
      <c r="Q148" s="16">
        <f>3808+1667</f>
        <v>5475</v>
      </c>
      <c r="R148" s="16"/>
      <c r="S148" s="16">
        <f>72017+135</f>
        <v>72152</v>
      </c>
      <c r="T148" s="16"/>
      <c r="U148" s="16">
        <v>0</v>
      </c>
      <c r="V148" s="16"/>
      <c r="W148" s="16">
        <v>2225</v>
      </c>
      <c r="X148" s="16"/>
      <c r="Y148" s="16">
        <v>786409</v>
      </c>
      <c r="Z148" s="16"/>
      <c r="AA148" s="16">
        <v>0</v>
      </c>
      <c r="AB148" s="16"/>
      <c r="AC148" s="16">
        <v>0</v>
      </c>
      <c r="AD148" s="16"/>
      <c r="AE148" s="16">
        <f t="shared" si="4"/>
        <v>1998759</v>
      </c>
    </row>
    <row r="149" spans="1:31" ht="12.75" customHeight="1">
      <c r="A149" s="1" t="s">
        <v>552</v>
      </c>
      <c r="C149" s="1" t="s">
        <v>210</v>
      </c>
      <c r="E149" s="16">
        <v>9362</v>
      </c>
      <c r="F149" s="16"/>
      <c r="G149" s="16">
        <v>0</v>
      </c>
      <c r="H149" s="16"/>
      <c r="I149" s="16">
        <v>80603</v>
      </c>
      <c r="J149" s="16"/>
      <c r="K149" s="16">
        <v>0</v>
      </c>
      <c r="L149" s="16"/>
      <c r="M149" s="16">
        <v>2260</v>
      </c>
      <c r="N149" s="16"/>
      <c r="O149" s="16">
        <v>516</v>
      </c>
      <c r="P149" s="16"/>
      <c r="Q149" s="16">
        <v>506</v>
      </c>
      <c r="R149" s="16"/>
      <c r="S149" s="16">
        <v>7818</v>
      </c>
      <c r="T149" s="16"/>
      <c r="U149" s="16">
        <v>0</v>
      </c>
      <c r="V149" s="16"/>
      <c r="W149" s="16">
        <v>0</v>
      </c>
      <c r="X149" s="16"/>
      <c r="Y149" s="16">
        <v>0</v>
      </c>
      <c r="Z149" s="16"/>
      <c r="AA149" s="16">
        <v>0</v>
      </c>
      <c r="AB149" s="16"/>
      <c r="AC149" s="16">
        <v>0</v>
      </c>
      <c r="AD149" s="16"/>
      <c r="AE149" s="16">
        <f t="shared" si="4"/>
        <v>101065</v>
      </c>
    </row>
    <row r="150" spans="1:31" ht="12.75" customHeight="1">
      <c r="A150" s="1" t="s">
        <v>558</v>
      </c>
      <c r="C150" s="1" t="s">
        <v>199</v>
      </c>
      <c r="E150" s="16">
        <v>30226</v>
      </c>
      <c r="F150" s="16"/>
      <c r="G150" s="16">
        <v>0</v>
      </c>
      <c r="H150" s="16"/>
      <c r="I150" s="16">
        <v>27768</v>
      </c>
      <c r="J150" s="16"/>
      <c r="K150" s="16">
        <v>0</v>
      </c>
      <c r="L150" s="16"/>
      <c r="M150" s="16">
        <v>0</v>
      </c>
      <c r="N150" s="16"/>
      <c r="O150" s="16">
        <v>0</v>
      </c>
      <c r="P150" s="16"/>
      <c r="Q150" s="16">
        <v>403</v>
      </c>
      <c r="R150" s="16"/>
      <c r="S150" s="16">
        <v>85</v>
      </c>
      <c r="T150" s="16"/>
      <c r="U150" s="16">
        <v>0</v>
      </c>
      <c r="V150" s="16"/>
      <c r="W150" s="16">
        <v>0</v>
      </c>
      <c r="X150" s="16"/>
      <c r="Y150" s="16">
        <v>0</v>
      </c>
      <c r="Z150" s="16"/>
      <c r="AA150" s="16">
        <v>0</v>
      </c>
      <c r="AB150" s="16"/>
      <c r="AC150" s="16">
        <v>0</v>
      </c>
      <c r="AD150" s="16"/>
      <c r="AE150" s="16">
        <f t="shared" si="4"/>
        <v>58482</v>
      </c>
    </row>
    <row r="151" spans="1:31" ht="12.75" customHeight="1">
      <c r="A151" s="1" t="s">
        <v>768</v>
      </c>
      <c r="C151" s="1" t="s">
        <v>94</v>
      </c>
      <c r="E151" s="16">
        <v>14903</v>
      </c>
      <c r="F151" s="16"/>
      <c r="G151" s="16">
        <v>0</v>
      </c>
      <c r="H151" s="16"/>
      <c r="I151" s="16">
        <v>14893</v>
      </c>
      <c r="J151" s="16"/>
      <c r="K151" s="16">
        <v>8000</v>
      </c>
      <c r="L151" s="16"/>
      <c r="M151" s="16">
        <v>0</v>
      </c>
      <c r="N151" s="16"/>
      <c r="O151" s="16">
        <v>45</v>
      </c>
      <c r="P151" s="16"/>
      <c r="Q151" s="16">
        <v>4208</v>
      </c>
      <c r="R151" s="16"/>
      <c r="S151" s="16">
        <v>288</v>
      </c>
      <c r="T151" s="16"/>
      <c r="U151" s="16">
        <v>0</v>
      </c>
      <c r="V151" s="16"/>
      <c r="W151" s="16">
        <v>0</v>
      </c>
      <c r="X151" s="16"/>
      <c r="Y151" s="16">
        <v>0</v>
      </c>
      <c r="Z151" s="16"/>
      <c r="AA151" s="16">
        <v>0</v>
      </c>
      <c r="AB151" s="16"/>
      <c r="AC151" s="16">
        <v>0</v>
      </c>
      <c r="AD151" s="16"/>
      <c r="AE151" s="16">
        <f t="shared" si="4"/>
        <v>42337</v>
      </c>
    </row>
    <row r="152" spans="1:31" ht="12.75" customHeight="1">
      <c r="A152" s="1" t="s">
        <v>769</v>
      </c>
      <c r="C152" s="1" t="s">
        <v>94</v>
      </c>
      <c r="E152" s="16">
        <v>14027</v>
      </c>
      <c r="F152" s="16"/>
      <c r="G152" s="16">
        <v>80505</v>
      </c>
      <c r="H152" s="16"/>
      <c r="I152" s="16">
        <v>45570</v>
      </c>
      <c r="J152" s="16"/>
      <c r="K152" s="16">
        <v>0</v>
      </c>
      <c r="L152" s="16"/>
      <c r="M152" s="16">
        <v>17475</v>
      </c>
      <c r="N152" s="16"/>
      <c r="O152" s="16">
        <v>1554</v>
      </c>
      <c r="P152" s="16"/>
      <c r="Q152" s="16">
        <v>12469</v>
      </c>
      <c r="R152" s="16"/>
      <c r="S152" s="16">
        <v>3251</v>
      </c>
      <c r="T152" s="16"/>
      <c r="U152" s="16">
        <v>0</v>
      </c>
      <c r="V152" s="16"/>
      <c r="W152" s="16">
        <v>0</v>
      </c>
      <c r="X152" s="16"/>
      <c r="Y152" s="16">
        <v>0</v>
      </c>
      <c r="Z152" s="16"/>
      <c r="AA152" s="16">
        <v>0</v>
      </c>
      <c r="AB152" s="16"/>
      <c r="AC152" s="16">
        <v>1022</v>
      </c>
      <c r="AD152" s="16"/>
      <c r="AE152" s="16">
        <f t="shared" si="4"/>
        <v>175873</v>
      </c>
    </row>
    <row r="153" spans="1:31" ht="12.75" customHeight="1">
      <c r="A153" s="1" t="s">
        <v>180</v>
      </c>
      <c r="B153" s="1"/>
      <c r="C153" s="1" t="s">
        <v>84</v>
      </c>
      <c r="D153" s="16"/>
      <c r="E153" s="16">
        <v>110369</v>
      </c>
      <c r="F153" s="16"/>
      <c r="G153" s="16">
        <v>0</v>
      </c>
      <c r="H153" s="16"/>
      <c r="I153" s="16">
        <v>230841</v>
      </c>
      <c r="J153" s="16"/>
      <c r="K153" s="16">
        <v>0</v>
      </c>
      <c r="L153" s="16"/>
      <c r="M153" s="16">
        <v>13927</v>
      </c>
      <c r="N153" s="16"/>
      <c r="O153" s="16">
        <v>31357</v>
      </c>
      <c r="P153" s="16"/>
      <c r="Q153" s="16">
        <v>5762</v>
      </c>
      <c r="R153" s="16"/>
      <c r="S153" s="16">
        <v>0</v>
      </c>
      <c r="T153" s="16"/>
      <c r="U153" s="16">
        <v>0</v>
      </c>
      <c r="V153" s="16"/>
      <c r="W153" s="16">
        <v>0</v>
      </c>
      <c r="X153" s="16"/>
      <c r="Y153" s="16">
        <v>372425</v>
      </c>
      <c r="Z153" s="16"/>
      <c r="AA153" s="16">
        <v>50000</v>
      </c>
      <c r="AB153" s="16"/>
      <c r="AC153" s="16">
        <v>1582</v>
      </c>
      <c r="AD153" s="16"/>
      <c r="AE153" s="16">
        <f t="shared" si="4"/>
        <v>816263</v>
      </c>
    </row>
    <row r="154" spans="1:31" ht="12.75" customHeight="1">
      <c r="A154" s="1" t="s">
        <v>181</v>
      </c>
      <c r="B154" s="1"/>
      <c r="C154" s="1" t="s">
        <v>182</v>
      </c>
      <c r="D154" s="16"/>
      <c r="E154" s="16">
        <f>190007</f>
        <v>190007</v>
      </c>
      <c r="F154" s="16"/>
      <c r="G154" s="16">
        <v>0</v>
      </c>
      <c r="H154" s="16"/>
      <c r="I154" s="16">
        <v>85304</v>
      </c>
      <c r="J154" s="16"/>
      <c r="K154" s="16">
        <v>0</v>
      </c>
      <c r="L154" s="16"/>
      <c r="M154" s="16">
        <v>1391</v>
      </c>
      <c r="N154" s="16"/>
      <c r="O154" s="16">
        <v>1657</v>
      </c>
      <c r="P154" s="16"/>
      <c r="Q154" s="16">
        <v>0</v>
      </c>
      <c r="R154" s="16"/>
      <c r="S154" s="16">
        <v>28086</v>
      </c>
      <c r="T154" s="16"/>
      <c r="U154" s="16">
        <v>0</v>
      </c>
      <c r="V154" s="16"/>
      <c r="W154" s="16">
        <v>0</v>
      </c>
      <c r="X154" s="16"/>
      <c r="Y154" s="16">
        <v>116544</v>
      </c>
      <c r="Z154" s="16"/>
      <c r="AA154" s="16">
        <v>0</v>
      </c>
      <c r="AB154" s="16"/>
      <c r="AC154" s="16">
        <v>0</v>
      </c>
      <c r="AD154" s="16"/>
      <c r="AE154" s="16">
        <f t="shared" si="4"/>
        <v>422989</v>
      </c>
    </row>
    <row r="155" spans="1:31" ht="12.75" customHeight="1">
      <c r="A155" s="1" t="s">
        <v>183</v>
      </c>
      <c r="B155" s="1"/>
      <c r="C155" s="1" t="s">
        <v>184</v>
      </c>
      <c r="D155" s="16"/>
      <c r="E155" s="16">
        <v>3876</v>
      </c>
      <c r="F155" s="16"/>
      <c r="G155" s="16">
        <v>0</v>
      </c>
      <c r="H155" s="16"/>
      <c r="I155" s="16">
        <v>34222</v>
      </c>
      <c r="J155" s="16"/>
      <c r="K155" s="16">
        <v>0</v>
      </c>
      <c r="L155" s="16"/>
      <c r="M155" s="16">
        <v>0</v>
      </c>
      <c r="N155" s="16"/>
      <c r="O155" s="16">
        <v>0</v>
      </c>
      <c r="P155" s="16"/>
      <c r="Q155" s="16">
        <v>478</v>
      </c>
      <c r="R155" s="16"/>
      <c r="S155" s="16">
        <v>1089</v>
      </c>
      <c r="T155" s="16"/>
      <c r="U155" s="16">
        <v>0</v>
      </c>
      <c r="V155" s="16"/>
      <c r="W155" s="16">
        <v>0</v>
      </c>
      <c r="X155" s="16"/>
      <c r="Y155" s="16">
        <v>0</v>
      </c>
      <c r="Z155" s="16"/>
      <c r="AA155" s="16">
        <v>0</v>
      </c>
      <c r="AB155" s="16"/>
      <c r="AC155" s="16">
        <v>0</v>
      </c>
      <c r="AD155" s="16"/>
      <c r="AE155" s="16">
        <f t="shared" si="4"/>
        <v>39665</v>
      </c>
    </row>
    <row r="156" spans="1:31" ht="12.75" customHeight="1">
      <c r="A156" s="1" t="s">
        <v>185</v>
      </c>
      <c r="B156" s="1"/>
      <c r="C156" s="1" t="s">
        <v>133</v>
      </c>
      <c r="E156" s="16">
        <v>1287</v>
      </c>
      <c r="F156" s="16"/>
      <c r="G156" s="16">
        <v>0</v>
      </c>
      <c r="H156" s="16"/>
      <c r="I156" s="16">
        <v>16324</v>
      </c>
      <c r="J156" s="16"/>
      <c r="K156" s="16">
        <v>0</v>
      </c>
      <c r="L156" s="16"/>
      <c r="M156" s="16">
        <v>0</v>
      </c>
      <c r="N156" s="16"/>
      <c r="O156" s="16">
        <v>0</v>
      </c>
      <c r="P156" s="16"/>
      <c r="Q156" s="16">
        <f>67+15</f>
        <v>82</v>
      </c>
      <c r="R156" s="16"/>
      <c r="S156" s="16">
        <v>50</v>
      </c>
      <c r="T156" s="16"/>
      <c r="U156" s="16">
        <v>0</v>
      </c>
      <c r="V156" s="16"/>
      <c r="W156" s="16">
        <v>0</v>
      </c>
      <c r="X156" s="16"/>
      <c r="Y156" s="16">
        <v>0</v>
      </c>
      <c r="Z156" s="16"/>
      <c r="AA156" s="16">
        <v>0</v>
      </c>
      <c r="AB156" s="16"/>
      <c r="AC156" s="16">
        <v>0</v>
      </c>
      <c r="AD156" s="16"/>
      <c r="AE156" s="16">
        <f t="shared" si="4"/>
        <v>17743</v>
      </c>
    </row>
    <row r="157" spans="1:31" ht="12.75" customHeight="1">
      <c r="A157" s="1" t="s">
        <v>617</v>
      </c>
      <c r="C157" s="1" t="s">
        <v>369</v>
      </c>
      <c r="E157" s="16">
        <v>35831</v>
      </c>
      <c r="F157" s="16"/>
      <c r="G157" s="16">
        <v>172401</v>
      </c>
      <c r="H157" s="16"/>
      <c r="I157" s="16">
        <v>108371</v>
      </c>
      <c r="J157" s="16"/>
      <c r="K157" s="16">
        <v>0</v>
      </c>
      <c r="L157" s="16"/>
      <c r="M157" s="16">
        <v>10550</v>
      </c>
      <c r="N157" s="16"/>
      <c r="O157" s="16">
        <v>6197</v>
      </c>
      <c r="P157" s="16"/>
      <c r="Q157" s="16">
        <v>5461</v>
      </c>
      <c r="R157" s="16"/>
      <c r="S157" s="16">
        <v>2772</v>
      </c>
      <c r="T157" s="16"/>
      <c r="U157" s="16">
        <v>0</v>
      </c>
      <c r="V157" s="16"/>
      <c r="W157" s="16">
        <v>0</v>
      </c>
      <c r="X157" s="16"/>
      <c r="Y157" s="16">
        <v>0</v>
      </c>
      <c r="Z157" s="16"/>
      <c r="AA157" s="16">
        <v>0</v>
      </c>
      <c r="AB157" s="16"/>
      <c r="AC157" s="16">
        <v>0</v>
      </c>
      <c r="AD157" s="16"/>
      <c r="AE157" s="16">
        <f t="shared" si="4"/>
        <v>341583</v>
      </c>
    </row>
    <row r="158" spans="1:31" ht="12.75" customHeight="1">
      <c r="A158" s="1" t="s">
        <v>481</v>
      </c>
      <c r="C158" s="1" t="s">
        <v>153</v>
      </c>
      <c r="E158" s="16">
        <v>25518</v>
      </c>
      <c r="F158" s="16"/>
      <c r="G158" s="16">
        <v>0</v>
      </c>
      <c r="H158" s="16"/>
      <c r="I158" s="16">
        <v>59769</v>
      </c>
      <c r="J158" s="16"/>
      <c r="K158" s="16">
        <v>0</v>
      </c>
      <c r="L158" s="16"/>
      <c r="M158" s="16">
        <v>0</v>
      </c>
      <c r="N158" s="16"/>
      <c r="O158" s="16">
        <v>736</v>
      </c>
      <c r="P158" s="16"/>
      <c r="Q158" s="16">
        <v>64</v>
      </c>
      <c r="R158" s="16"/>
      <c r="S158" s="16">
        <v>5617</v>
      </c>
      <c r="T158" s="16"/>
      <c r="U158" s="16">
        <v>0</v>
      </c>
      <c r="V158" s="16"/>
      <c r="W158" s="16">
        <v>0</v>
      </c>
      <c r="X158" s="16"/>
      <c r="Y158" s="16">
        <v>0</v>
      </c>
      <c r="Z158" s="16"/>
      <c r="AA158" s="16">
        <v>0</v>
      </c>
      <c r="AB158" s="16"/>
      <c r="AC158" s="16">
        <v>0</v>
      </c>
      <c r="AD158" s="16"/>
      <c r="AE158" s="16">
        <f t="shared" si="4"/>
        <v>91704</v>
      </c>
    </row>
    <row r="159" spans="1:31" ht="12.75" customHeight="1">
      <c r="A159" s="1" t="s">
        <v>186</v>
      </c>
      <c r="B159" s="1"/>
      <c r="C159" s="1" t="s">
        <v>87</v>
      </c>
      <c r="D159" s="16"/>
      <c r="E159" s="16">
        <f>713042</f>
        <v>713042</v>
      </c>
      <c r="F159" s="16"/>
      <c r="G159" s="16">
        <v>0</v>
      </c>
      <c r="H159" s="16"/>
      <c r="I159" s="16">
        <v>355398</v>
      </c>
      <c r="J159" s="16"/>
      <c r="K159" s="16">
        <v>16176</v>
      </c>
      <c r="L159" s="16"/>
      <c r="M159" s="16">
        <v>151607</v>
      </c>
      <c r="N159" s="16"/>
      <c r="O159" s="16">
        <v>43890</v>
      </c>
      <c r="P159" s="16"/>
      <c r="Q159" s="16">
        <v>0</v>
      </c>
      <c r="R159" s="16"/>
      <c r="S159" s="16">
        <f>81586-6267</f>
        <v>75319</v>
      </c>
      <c r="T159" s="16"/>
      <c r="U159" s="16">
        <v>28214</v>
      </c>
      <c r="V159" s="16"/>
      <c r="W159" s="16">
        <v>0</v>
      </c>
      <c r="X159" s="16"/>
      <c r="Y159" s="16">
        <v>86839</v>
      </c>
      <c r="Z159" s="16"/>
      <c r="AA159" s="16">
        <v>0</v>
      </c>
      <c r="AB159" s="16"/>
      <c r="AC159" s="16">
        <v>571</v>
      </c>
      <c r="AD159" s="16"/>
      <c r="AE159" s="16">
        <f t="shared" si="4"/>
        <v>1471056</v>
      </c>
    </row>
    <row r="160" spans="1:31" ht="12.75" customHeight="1">
      <c r="A160" s="1" t="s">
        <v>738</v>
      </c>
      <c r="C160" s="1" t="s">
        <v>96</v>
      </c>
      <c r="E160" s="16">
        <v>184439</v>
      </c>
      <c r="F160" s="16"/>
      <c r="G160" s="16">
        <v>605176</v>
      </c>
      <c r="H160" s="16"/>
      <c r="I160" s="16">
        <v>1298133</v>
      </c>
      <c r="J160" s="16"/>
      <c r="K160" s="16">
        <v>21424</v>
      </c>
      <c r="L160" s="16"/>
      <c r="M160" s="16">
        <v>0</v>
      </c>
      <c r="N160" s="16"/>
      <c r="O160" s="16">
        <v>13262</v>
      </c>
      <c r="P160" s="16"/>
      <c r="Q160" s="16">
        <v>4172</v>
      </c>
      <c r="R160" s="16"/>
      <c r="S160" s="16">
        <v>41677</v>
      </c>
      <c r="T160" s="16"/>
      <c r="U160" s="16">
        <v>0</v>
      </c>
      <c r="V160" s="16"/>
      <c r="W160" s="16">
        <v>0</v>
      </c>
      <c r="X160" s="16"/>
      <c r="Y160" s="16">
        <v>30000</v>
      </c>
      <c r="Z160" s="16"/>
      <c r="AA160" s="16">
        <v>0</v>
      </c>
      <c r="AB160" s="16"/>
      <c r="AC160" s="16">
        <v>1051</v>
      </c>
      <c r="AD160" s="16"/>
      <c r="AE160" s="16">
        <f t="shared" si="4"/>
        <v>2199334</v>
      </c>
    </row>
    <row r="161" spans="1:31" ht="12.75" customHeight="1">
      <c r="A161" s="1" t="s">
        <v>583</v>
      </c>
      <c r="C161" s="1" t="s">
        <v>239</v>
      </c>
      <c r="E161" s="16">
        <v>139282</v>
      </c>
      <c r="F161" s="16"/>
      <c r="G161" s="16">
        <v>0</v>
      </c>
      <c r="H161" s="16"/>
      <c r="I161" s="16">
        <v>166357</v>
      </c>
      <c r="J161" s="16"/>
      <c r="K161" s="16">
        <v>0</v>
      </c>
      <c r="L161" s="16"/>
      <c r="M161" s="16">
        <v>2500</v>
      </c>
      <c r="N161" s="16"/>
      <c r="O161" s="16">
        <v>4423</v>
      </c>
      <c r="P161" s="16"/>
      <c r="Q161" s="16">
        <v>9320</v>
      </c>
      <c r="R161" s="16"/>
      <c r="S161" s="16">
        <v>101812</v>
      </c>
      <c r="T161" s="16"/>
      <c r="U161" s="16">
        <v>0</v>
      </c>
      <c r="V161" s="16"/>
      <c r="W161" s="16">
        <v>0</v>
      </c>
      <c r="X161" s="16"/>
      <c r="Y161" s="16">
        <v>112192</v>
      </c>
      <c r="Z161" s="16"/>
      <c r="AA161" s="16">
        <v>0</v>
      </c>
      <c r="AB161" s="16"/>
      <c r="AC161" s="16">
        <v>0</v>
      </c>
      <c r="AD161" s="16"/>
      <c r="AE161" s="16">
        <f t="shared" si="4"/>
        <v>535886</v>
      </c>
    </row>
    <row r="162" spans="1:31" ht="12.75" customHeight="1">
      <c r="A162" s="1" t="s">
        <v>598</v>
      </c>
      <c r="C162" s="1" t="s">
        <v>69</v>
      </c>
      <c r="E162" s="16">
        <v>57446</v>
      </c>
      <c r="F162" s="16"/>
      <c r="G162" s="16">
        <v>0</v>
      </c>
      <c r="H162" s="16"/>
      <c r="I162" s="16">
        <v>301185</v>
      </c>
      <c r="J162" s="16"/>
      <c r="K162" s="16">
        <v>0</v>
      </c>
      <c r="L162" s="16"/>
      <c r="M162" s="16">
        <v>4967</v>
      </c>
      <c r="N162" s="16"/>
      <c r="O162" s="16">
        <v>11194</v>
      </c>
      <c r="P162" s="16"/>
      <c r="Q162" s="16">
        <v>6254</v>
      </c>
      <c r="R162" s="16"/>
      <c r="S162" s="16">
        <v>345</v>
      </c>
      <c r="T162" s="16"/>
      <c r="U162" s="16">
        <v>7000</v>
      </c>
      <c r="V162" s="16"/>
      <c r="W162" s="16">
        <v>0</v>
      </c>
      <c r="X162" s="16"/>
      <c r="Y162" s="16">
        <v>0</v>
      </c>
      <c r="Z162" s="16"/>
      <c r="AA162" s="16">
        <v>0</v>
      </c>
      <c r="AB162" s="16"/>
      <c r="AC162" s="16">
        <v>27245</v>
      </c>
      <c r="AD162" s="16"/>
      <c r="AE162" s="16">
        <f t="shared" si="4"/>
        <v>415636</v>
      </c>
    </row>
    <row r="163" spans="1:31" ht="12.75" customHeight="1">
      <c r="A163" s="1" t="s">
        <v>187</v>
      </c>
      <c r="B163" s="1"/>
      <c r="C163" s="1" t="s">
        <v>84</v>
      </c>
      <c r="D163" s="16"/>
      <c r="E163" s="16">
        <f>311459+482673</f>
        <v>794132</v>
      </c>
      <c r="F163" s="16"/>
      <c r="G163" s="16">
        <v>0</v>
      </c>
      <c r="H163" s="16"/>
      <c r="I163" s="16">
        <f>120956+165148</f>
        <v>286104</v>
      </c>
      <c r="J163" s="16"/>
      <c r="K163" s="16">
        <v>0</v>
      </c>
      <c r="L163" s="16"/>
      <c r="M163" s="16">
        <f>39074+21913</f>
        <v>60987</v>
      </c>
      <c r="N163" s="16"/>
      <c r="O163" s="16">
        <f>48418+3802</f>
        <v>52220</v>
      </c>
      <c r="P163" s="16"/>
      <c r="Q163" s="16">
        <v>20194</v>
      </c>
      <c r="R163" s="16"/>
      <c r="S163" s="16">
        <f>47809+5107+307544</f>
        <v>360460</v>
      </c>
      <c r="T163" s="16"/>
      <c r="U163" s="16">
        <v>0</v>
      </c>
      <c r="V163" s="16"/>
      <c r="W163" s="16">
        <v>0</v>
      </c>
      <c r="X163" s="16"/>
      <c r="Y163" s="16">
        <v>100500</v>
      </c>
      <c r="Z163" s="16"/>
      <c r="AA163" s="16">
        <v>0</v>
      </c>
      <c r="AB163" s="16"/>
      <c r="AC163" s="16">
        <v>0</v>
      </c>
      <c r="AD163" s="16"/>
      <c r="AE163" s="16">
        <f t="shared" si="4"/>
        <v>1674597</v>
      </c>
    </row>
    <row r="164" spans="1:31" ht="12.75" customHeight="1">
      <c r="A164" s="1" t="s">
        <v>668</v>
      </c>
      <c r="C164" s="1" t="s">
        <v>67</v>
      </c>
      <c r="E164" s="16">
        <v>108292</v>
      </c>
      <c r="F164" s="16"/>
      <c r="G164" s="16">
        <v>1871</v>
      </c>
      <c r="H164" s="16"/>
      <c r="I164" s="16">
        <v>112318</v>
      </c>
      <c r="J164" s="16"/>
      <c r="K164" s="16">
        <v>19772</v>
      </c>
      <c r="L164" s="16"/>
      <c r="M164" s="16">
        <v>225296</v>
      </c>
      <c r="N164" s="16"/>
      <c r="O164" s="16">
        <v>22928</v>
      </c>
      <c r="P164" s="16"/>
      <c r="Q164" s="16">
        <v>58367</v>
      </c>
      <c r="R164" s="16"/>
      <c r="S164" s="16">
        <v>15107</v>
      </c>
      <c r="T164" s="16"/>
      <c r="U164" s="16">
        <v>147952</v>
      </c>
      <c r="V164" s="16"/>
      <c r="W164" s="16">
        <v>3650</v>
      </c>
      <c r="X164" s="16"/>
      <c r="Y164" s="16">
        <v>325109</v>
      </c>
      <c r="Z164" s="16"/>
      <c r="AA164" s="16">
        <v>84018</v>
      </c>
      <c r="AB164" s="16"/>
      <c r="AC164" s="16">
        <v>0</v>
      </c>
      <c r="AD164" s="16"/>
      <c r="AE164" s="16">
        <f t="shared" si="4"/>
        <v>1124680</v>
      </c>
    </row>
    <row r="165" spans="1:31" ht="12.75" customHeight="1">
      <c r="A165" s="1" t="s">
        <v>575</v>
      </c>
      <c r="C165" s="1" t="s">
        <v>65</v>
      </c>
      <c r="E165" s="16">
        <v>17463</v>
      </c>
      <c r="F165" s="16"/>
      <c r="G165" s="16">
        <v>57163</v>
      </c>
      <c r="H165" s="16"/>
      <c r="I165" s="16">
        <v>52942</v>
      </c>
      <c r="J165" s="16"/>
      <c r="K165" s="16">
        <v>0</v>
      </c>
      <c r="L165" s="16"/>
      <c r="M165" s="16">
        <v>0</v>
      </c>
      <c r="N165" s="16"/>
      <c r="O165" s="16">
        <v>3367</v>
      </c>
      <c r="P165" s="16"/>
      <c r="Q165" s="16">
        <v>2590</v>
      </c>
      <c r="R165" s="16"/>
      <c r="S165" s="16">
        <v>3644</v>
      </c>
      <c r="T165" s="16"/>
      <c r="U165" s="16">
        <v>0</v>
      </c>
      <c r="V165" s="16"/>
      <c r="W165" s="16">
        <v>0</v>
      </c>
      <c r="X165" s="16"/>
      <c r="Y165" s="16">
        <v>0</v>
      </c>
      <c r="Z165" s="16"/>
      <c r="AA165" s="16">
        <v>0</v>
      </c>
      <c r="AB165" s="16"/>
      <c r="AC165" s="16">
        <v>0</v>
      </c>
      <c r="AD165" s="16"/>
      <c r="AE165" s="16">
        <f t="shared" si="4"/>
        <v>137169</v>
      </c>
    </row>
    <row r="166" spans="1:31" ht="12.75" customHeight="1">
      <c r="A166" s="1" t="s">
        <v>702</v>
      </c>
      <c r="C166" s="1" t="s">
        <v>110</v>
      </c>
      <c r="E166" s="16">
        <v>6922</v>
      </c>
      <c r="F166" s="16"/>
      <c r="G166" s="16">
        <v>0</v>
      </c>
      <c r="H166" s="16"/>
      <c r="I166" s="16">
        <v>51209</v>
      </c>
      <c r="J166" s="16"/>
      <c r="K166" s="16">
        <v>0</v>
      </c>
      <c r="L166" s="16"/>
      <c r="M166" s="16">
        <v>22</v>
      </c>
      <c r="N166" s="16"/>
      <c r="O166" s="16">
        <v>0</v>
      </c>
      <c r="P166" s="16"/>
      <c r="Q166" s="16">
        <v>440</v>
      </c>
      <c r="R166" s="16"/>
      <c r="S166" s="16">
        <v>1248</v>
      </c>
      <c r="T166" s="16"/>
      <c r="U166" s="16">
        <v>0</v>
      </c>
      <c r="V166" s="16"/>
      <c r="W166" s="16">
        <v>0</v>
      </c>
      <c r="X166" s="16"/>
      <c r="Y166" s="16">
        <v>0</v>
      </c>
      <c r="Z166" s="16"/>
      <c r="AA166" s="16">
        <v>0</v>
      </c>
      <c r="AB166" s="16"/>
      <c r="AC166" s="16">
        <v>0</v>
      </c>
      <c r="AD166" s="16"/>
      <c r="AE166" s="16">
        <f t="shared" si="4"/>
        <v>59841</v>
      </c>
    </row>
    <row r="167" spans="1:31" ht="12.75" customHeight="1">
      <c r="A167" s="1" t="s">
        <v>188</v>
      </c>
      <c r="B167" s="1"/>
      <c r="C167" s="1" t="s">
        <v>106</v>
      </c>
      <c r="D167" s="16"/>
      <c r="E167" s="16">
        <v>47607</v>
      </c>
      <c r="F167" s="16"/>
      <c r="G167" s="16">
        <v>350032</v>
      </c>
      <c r="H167" s="16"/>
      <c r="I167" s="16">
        <f>520722-66008</f>
        <v>454714</v>
      </c>
      <c r="J167" s="16"/>
      <c r="K167" s="16">
        <v>0</v>
      </c>
      <c r="L167" s="16"/>
      <c r="M167" s="16">
        <v>1270</v>
      </c>
      <c r="N167" s="16"/>
      <c r="O167" s="16">
        <v>30408</v>
      </c>
      <c r="P167" s="16"/>
      <c r="Q167" s="16">
        <f>8264-1165</f>
        <v>7099</v>
      </c>
      <c r="R167" s="16"/>
      <c r="S167" s="16">
        <v>9568</v>
      </c>
      <c r="T167" s="16"/>
      <c r="U167" s="16">
        <v>0</v>
      </c>
      <c r="V167" s="16"/>
      <c r="W167" s="16">
        <v>0</v>
      </c>
      <c r="X167" s="16"/>
      <c r="Y167" s="16">
        <v>0</v>
      </c>
      <c r="Z167" s="16"/>
      <c r="AA167" s="16">
        <v>0</v>
      </c>
      <c r="AB167" s="16"/>
      <c r="AC167" s="16">
        <v>0</v>
      </c>
      <c r="AD167" s="16"/>
      <c r="AE167" s="16">
        <f t="shared" si="4"/>
        <v>900698</v>
      </c>
    </row>
    <row r="168" spans="1:31" ht="12.75" customHeight="1">
      <c r="A168" s="1" t="s">
        <v>729</v>
      </c>
      <c r="C168" s="1" t="s">
        <v>106</v>
      </c>
      <c r="E168" s="16">
        <v>170071</v>
      </c>
      <c r="F168" s="16"/>
      <c r="G168" s="16">
        <v>0</v>
      </c>
      <c r="H168" s="16"/>
      <c r="I168" s="16">
        <v>66292</v>
      </c>
      <c r="J168" s="16"/>
      <c r="K168" s="16">
        <v>0</v>
      </c>
      <c r="L168" s="16"/>
      <c r="M168" s="16">
        <v>70775</v>
      </c>
      <c r="N168" s="16"/>
      <c r="O168" s="16">
        <v>7504</v>
      </c>
      <c r="P168" s="16"/>
      <c r="Q168" s="16">
        <v>323</v>
      </c>
      <c r="R168" s="16"/>
      <c r="S168" s="16">
        <v>11413</v>
      </c>
      <c r="T168" s="16"/>
      <c r="U168" s="16">
        <v>0</v>
      </c>
      <c r="V168" s="16"/>
      <c r="W168" s="16">
        <v>0</v>
      </c>
      <c r="X168" s="16"/>
      <c r="Y168" s="16">
        <v>9177</v>
      </c>
      <c r="Z168" s="16"/>
      <c r="AA168" s="16">
        <v>0</v>
      </c>
      <c r="AB168" s="16"/>
      <c r="AC168" s="16">
        <v>0</v>
      </c>
      <c r="AD168" s="16"/>
      <c r="AE168" s="16">
        <f t="shared" si="4"/>
        <v>335555</v>
      </c>
    </row>
    <row r="169" spans="1:31" ht="12.75" customHeight="1">
      <c r="A169" s="1" t="s">
        <v>189</v>
      </c>
      <c r="B169" s="1"/>
      <c r="C169" s="1" t="s">
        <v>190</v>
      </c>
      <c r="D169" s="16"/>
      <c r="E169" s="16">
        <v>273785</v>
      </c>
      <c r="F169" s="16"/>
      <c r="G169" s="16">
        <v>647803</v>
      </c>
      <c r="H169" s="16"/>
      <c r="I169" s="16">
        <v>187986</v>
      </c>
      <c r="J169" s="16"/>
      <c r="K169" s="16">
        <v>0</v>
      </c>
      <c r="L169" s="16"/>
      <c r="M169" s="16">
        <v>57818</v>
      </c>
      <c r="N169" s="16"/>
      <c r="O169" s="16">
        <v>9101</v>
      </c>
      <c r="P169" s="16"/>
      <c r="Q169" s="16">
        <v>18355</v>
      </c>
      <c r="R169" s="16"/>
      <c r="S169" s="16">
        <v>9429</v>
      </c>
      <c r="T169" s="16"/>
      <c r="U169" s="16">
        <v>0</v>
      </c>
      <c r="V169" s="16"/>
      <c r="W169" s="16">
        <v>0</v>
      </c>
      <c r="X169" s="16"/>
      <c r="Y169" s="16">
        <v>0</v>
      </c>
      <c r="Z169" s="16"/>
      <c r="AA169" s="16">
        <v>0</v>
      </c>
      <c r="AB169" s="16"/>
      <c r="AC169" s="16">
        <v>105447</v>
      </c>
      <c r="AD169" s="16"/>
      <c r="AE169" s="16">
        <f t="shared" si="4"/>
        <v>1309724</v>
      </c>
    </row>
    <row r="170" spans="1:31" ht="12.75" customHeight="1">
      <c r="A170" s="1" t="s">
        <v>666</v>
      </c>
      <c r="C170" s="1" t="s">
        <v>309</v>
      </c>
      <c r="E170" s="16">
        <v>36463</v>
      </c>
      <c r="F170" s="16"/>
      <c r="G170" s="16">
        <v>0</v>
      </c>
      <c r="H170" s="16"/>
      <c r="I170" s="16">
        <v>42288</v>
      </c>
      <c r="J170" s="16"/>
      <c r="K170" s="16">
        <v>0</v>
      </c>
      <c r="L170" s="16"/>
      <c r="M170" s="16">
        <v>0</v>
      </c>
      <c r="N170" s="16"/>
      <c r="O170" s="16">
        <v>13984</v>
      </c>
      <c r="P170" s="16"/>
      <c r="Q170" s="16">
        <v>1042</v>
      </c>
      <c r="R170" s="16"/>
      <c r="S170" s="16">
        <v>2285</v>
      </c>
      <c r="T170" s="16"/>
      <c r="U170" s="16">
        <v>0</v>
      </c>
      <c r="V170" s="16"/>
      <c r="W170" s="16">
        <v>0</v>
      </c>
      <c r="X170" s="16"/>
      <c r="Y170" s="16">
        <v>0</v>
      </c>
      <c r="Z170" s="16"/>
      <c r="AA170" s="16">
        <v>0</v>
      </c>
      <c r="AB170" s="16"/>
      <c r="AC170" s="16">
        <v>0</v>
      </c>
      <c r="AD170" s="16"/>
      <c r="AE170" s="16">
        <f aca="true" t="shared" si="5" ref="AE170:AE201">SUM(E170:AC170)</f>
        <v>96062</v>
      </c>
    </row>
    <row r="171" spans="1:31" ht="12.75" customHeight="1">
      <c r="A171" s="1" t="s">
        <v>766</v>
      </c>
      <c r="C171" s="1" t="s">
        <v>190</v>
      </c>
      <c r="E171" s="16">
        <v>46414</v>
      </c>
      <c r="F171" s="16"/>
      <c r="G171" s="16">
        <v>282959</v>
      </c>
      <c r="H171" s="16"/>
      <c r="I171" s="16">
        <v>134024</v>
      </c>
      <c r="J171" s="16"/>
      <c r="K171" s="16">
        <v>0</v>
      </c>
      <c r="L171" s="16"/>
      <c r="M171" s="16">
        <v>0</v>
      </c>
      <c r="N171" s="16"/>
      <c r="O171" s="16">
        <v>100</v>
      </c>
      <c r="P171" s="16"/>
      <c r="Q171" s="16">
        <v>123188</v>
      </c>
      <c r="R171" s="16"/>
      <c r="S171" s="16">
        <v>6202</v>
      </c>
      <c r="T171" s="16"/>
      <c r="U171" s="16">
        <v>0</v>
      </c>
      <c r="V171" s="16"/>
      <c r="W171" s="16">
        <v>0</v>
      </c>
      <c r="X171" s="16"/>
      <c r="Y171" s="16">
        <v>0</v>
      </c>
      <c r="Z171" s="16"/>
      <c r="AA171" s="16">
        <v>0</v>
      </c>
      <c r="AB171" s="16"/>
      <c r="AC171" s="16">
        <v>0</v>
      </c>
      <c r="AD171" s="16"/>
      <c r="AE171" s="16">
        <f t="shared" si="5"/>
        <v>592887</v>
      </c>
    </row>
    <row r="172" spans="1:31" ht="12.75" customHeight="1">
      <c r="A172" s="1" t="s">
        <v>697</v>
      </c>
      <c r="C172" s="1" t="s">
        <v>225</v>
      </c>
      <c r="E172" s="16">
        <v>34826</v>
      </c>
      <c r="F172" s="16"/>
      <c r="G172" s="16">
        <v>0</v>
      </c>
      <c r="H172" s="16"/>
      <c r="I172" s="16">
        <v>119448</v>
      </c>
      <c r="J172" s="16"/>
      <c r="K172" s="16">
        <v>0</v>
      </c>
      <c r="L172" s="16"/>
      <c r="M172" s="16">
        <v>80378</v>
      </c>
      <c r="N172" s="16"/>
      <c r="O172" s="16">
        <v>285</v>
      </c>
      <c r="P172" s="16"/>
      <c r="Q172" s="16">
        <v>6334</v>
      </c>
      <c r="R172" s="16"/>
      <c r="S172" s="16">
        <v>1187</v>
      </c>
      <c r="T172" s="16"/>
      <c r="U172" s="16">
        <v>0</v>
      </c>
      <c r="V172" s="16"/>
      <c r="W172" s="16">
        <v>0</v>
      </c>
      <c r="X172" s="16"/>
      <c r="Y172" s="16">
        <v>18228</v>
      </c>
      <c r="Z172" s="16"/>
      <c r="AA172" s="16">
        <v>0</v>
      </c>
      <c r="AB172" s="16"/>
      <c r="AC172" s="16">
        <v>0</v>
      </c>
      <c r="AD172" s="16"/>
      <c r="AE172" s="16">
        <f t="shared" si="5"/>
        <v>260686</v>
      </c>
    </row>
    <row r="173" spans="1:31" ht="12.75" customHeight="1">
      <c r="A173" s="1" t="s">
        <v>191</v>
      </c>
      <c r="B173" s="1"/>
      <c r="C173" s="1" t="s">
        <v>192</v>
      </c>
      <c r="D173" s="16"/>
      <c r="E173" s="16">
        <f>2883+1658</f>
        <v>4541</v>
      </c>
      <c r="F173" s="16"/>
      <c r="G173" s="16">
        <v>14536</v>
      </c>
      <c r="H173" s="16"/>
      <c r="I173" s="16">
        <v>0</v>
      </c>
      <c r="J173" s="16"/>
      <c r="K173" s="16">
        <v>0</v>
      </c>
      <c r="L173" s="16"/>
      <c r="M173" s="16">
        <v>0</v>
      </c>
      <c r="N173" s="16"/>
      <c r="O173" s="16">
        <v>0</v>
      </c>
      <c r="P173" s="16"/>
      <c r="Q173" s="16">
        <v>183</v>
      </c>
      <c r="R173" s="16"/>
      <c r="S173" s="16">
        <v>1536</v>
      </c>
      <c r="T173" s="16"/>
      <c r="U173" s="16">
        <v>0</v>
      </c>
      <c r="V173" s="16"/>
      <c r="W173" s="16">
        <v>0</v>
      </c>
      <c r="X173" s="16"/>
      <c r="Y173" s="16">
        <v>0</v>
      </c>
      <c r="Z173" s="16"/>
      <c r="AA173" s="16">
        <v>0</v>
      </c>
      <c r="AB173" s="16"/>
      <c r="AC173" s="16">
        <v>0</v>
      </c>
      <c r="AD173" s="16"/>
      <c r="AE173" s="16">
        <f t="shared" si="5"/>
        <v>20796</v>
      </c>
    </row>
    <row r="174" spans="1:31" ht="12.75" customHeight="1">
      <c r="A174" s="1" t="s">
        <v>448</v>
      </c>
      <c r="B174" s="1"/>
      <c r="C174" s="1" t="s">
        <v>447</v>
      </c>
      <c r="E174" s="16">
        <v>98265</v>
      </c>
      <c r="F174" s="16"/>
      <c r="G174" s="16">
        <v>0</v>
      </c>
      <c r="H174" s="16"/>
      <c r="I174" s="16">
        <v>189498</v>
      </c>
      <c r="J174" s="16"/>
      <c r="K174" s="16">
        <v>0</v>
      </c>
      <c r="L174" s="16"/>
      <c r="M174" s="16">
        <v>0</v>
      </c>
      <c r="N174" s="16"/>
      <c r="O174" s="16">
        <v>28793</v>
      </c>
      <c r="P174" s="16"/>
      <c r="Q174" s="16">
        <v>1766</v>
      </c>
      <c r="R174" s="16"/>
      <c r="S174" s="16">
        <v>709</v>
      </c>
      <c r="T174" s="16"/>
      <c r="U174" s="16">
        <v>0</v>
      </c>
      <c r="V174" s="16"/>
      <c r="W174" s="16">
        <v>0</v>
      </c>
      <c r="X174" s="16"/>
      <c r="Y174" s="16">
        <v>0</v>
      </c>
      <c r="Z174" s="16"/>
      <c r="AA174" s="16">
        <v>0</v>
      </c>
      <c r="AB174" s="16"/>
      <c r="AC174" s="16">
        <v>0</v>
      </c>
      <c r="AD174" s="16"/>
      <c r="AE174" s="16">
        <f t="shared" si="5"/>
        <v>319031</v>
      </c>
    </row>
    <row r="175" spans="1:31" ht="12.75" customHeight="1">
      <c r="A175" s="1" t="s">
        <v>674</v>
      </c>
      <c r="C175" s="1" t="s">
        <v>215</v>
      </c>
      <c r="E175" s="16">
        <v>335153</v>
      </c>
      <c r="F175" s="16"/>
      <c r="G175" s="16">
        <v>310906</v>
      </c>
      <c r="H175" s="16"/>
      <c r="I175" s="16">
        <v>155850</v>
      </c>
      <c r="J175" s="16"/>
      <c r="K175" s="16">
        <v>993</v>
      </c>
      <c r="L175" s="16"/>
      <c r="M175" s="16">
        <v>16364</v>
      </c>
      <c r="N175" s="16"/>
      <c r="O175" s="16">
        <v>7506</v>
      </c>
      <c r="P175" s="16"/>
      <c r="Q175" s="16">
        <v>25217</v>
      </c>
      <c r="R175" s="16"/>
      <c r="S175" s="16">
        <v>7770</v>
      </c>
      <c r="T175" s="16"/>
      <c r="U175" s="16">
        <v>0</v>
      </c>
      <c r="V175" s="16"/>
      <c r="W175" s="16">
        <v>0</v>
      </c>
      <c r="X175" s="16"/>
      <c r="Y175" s="16">
        <v>0</v>
      </c>
      <c r="Z175" s="16"/>
      <c r="AA175" s="16">
        <v>0</v>
      </c>
      <c r="AB175" s="16"/>
      <c r="AC175" s="16">
        <v>0</v>
      </c>
      <c r="AD175" s="16"/>
      <c r="AE175" s="16">
        <f t="shared" si="5"/>
        <v>859759</v>
      </c>
    </row>
    <row r="176" spans="1:31" ht="12.75" customHeight="1">
      <c r="A176" s="1" t="s">
        <v>565</v>
      </c>
      <c r="C176" s="1" t="s">
        <v>73</v>
      </c>
      <c r="E176" s="16">
        <v>400375</v>
      </c>
      <c r="F176" s="16"/>
      <c r="G176" s="16">
        <v>323179</v>
      </c>
      <c r="H176" s="16"/>
      <c r="I176" s="16">
        <v>170085</v>
      </c>
      <c r="J176" s="16"/>
      <c r="K176" s="16">
        <v>0</v>
      </c>
      <c r="L176" s="16"/>
      <c r="M176" s="16">
        <v>39750</v>
      </c>
      <c r="N176" s="16"/>
      <c r="O176" s="16">
        <v>99731</v>
      </c>
      <c r="P176" s="16"/>
      <c r="Q176" s="16">
        <v>548</v>
      </c>
      <c r="R176" s="16"/>
      <c r="S176" s="16">
        <v>19046</v>
      </c>
      <c r="T176" s="16"/>
      <c r="U176" s="16">
        <v>0</v>
      </c>
      <c r="V176" s="16"/>
      <c r="W176" s="16">
        <v>0</v>
      </c>
      <c r="X176" s="16"/>
      <c r="Y176" s="16">
        <v>0</v>
      </c>
      <c r="Z176" s="16"/>
      <c r="AA176" s="16">
        <v>0</v>
      </c>
      <c r="AB176" s="16"/>
      <c r="AC176" s="16">
        <v>32827</v>
      </c>
      <c r="AD176" s="16"/>
      <c r="AE176" s="16">
        <f t="shared" si="5"/>
        <v>1085541</v>
      </c>
    </row>
    <row r="177" spans="1:31" ht="12.75" customHeight="1">
      <c r="A177" s="1" t="s">
        <v>599</v>
      </c>
      <c r="C177" s="1" t="s">
        <v>69</v>
      </c>
      <c r="E177" s="16">
        <v>17559</v>
      </c>
      <c r="F177" s="16"/>
      <c r="G177" s="16">
        <v>0</v>
      </c>
      <c r="H177" s="16"/>
      <c r="I177" s="16">
        <v>37888</v>
      </c>
      <c r="J177" s="16"/>
      <c r="K177" s="16">
        <v>0</v>
      </c>
      <c r="L177" s="16"/>
      <c r="M177" s="16">
        <v>3100</v>
      </c>
      <c r="N177" s="16"/>
      <c r="O177" s="16">
        <v>28885</v>
      </c>
      <c r="P177" s="16"/>
      <c r="Q177" s="16">
        <v>52</v>
      </c>
      <c r="R177" s="16"/>
      <c r="S177" s="16">
        <v>243</v>
      </c>
      <c r="T177" s="16"/>
      <c r="U177" s="16">
        <v>0</v>
      </c>
      <c r="V177" s="16"/>
      <c r="W177" s="16">
        <v>0</v>
      </c>
      <c r="X177" s="16"/>
      <c r="Y177" s="16">
        <v>0</v>
      </c>
      <c r="Z177" s="16"/>
      <c r="AA177" s="16">
        <v>0</v>
      </c>
      <c r="AB177" s="16"/>
      <c r="AC177" s="16">
        <v>0</v>
      </c>
      <c r="AD177" s="16"/>
      <c r="AE177" s="16">
        <f t="shared" si="5"/>
        <v>87727</v>
      </c>
    </row>
    <row r="178" spans="1:31" ht="12.75" customHeight="1">
      <c r="A178" s="1" t="s">
        <v>193</v>
      </c>
      <c r="B178" s="1"/>
      <c r="C178" s="1" t="s">
        <v>194</v>
      </c>
      <c r="E178" s="16">
        <f>220652+23392</f>
        <v>244044</v>
      </c>
      <c r="F178" s="16"/>
      <c r="G178" s="16">
        <v>0</v>
      </c>
      <c r="H178" s="16"/>
      <c r="I178" s="16">
        <v>183902</v>
      </c>
      <c r="J178" s="16"/>
      <c r="K178" s="16">
        <v>17957</v>
      </c>
      <c r="L178" s="16"/>
      <c r="M178" s="16">
        <v>40872</v>
      </c>
      <c r="N178" s="16"/>
      <c r="O178" s="16">
        <f>3328+37252+1</f>
        <v>40581</v>
      </c>
      <c r="P178" s="16"/>
      <c r="Q178" s="16">
        <v>2300</v>
      </c>
      <c r="R178" s="16"/>
      <c r="S178" s="16">
        <v>45724</v>
      </c>
      <c r="T178" s="16"/>
      <c r="U178" s="16">
        <v>0</v>
      </c>
      <c r="V178" s="16"/>
      <c r="W178" s="16">
        <v>0</v>
      </c>
      <c r="X178" s="16"/>
      <c r="Y178" s="16">
        <v>0</v>
      </c>
      <c r="Z178" s="16"/>
      <c r="AA178" s="16">
        <v>978</v>
      </c>
      <c r="AB178" s="16"/>
      <c r="AC178" s="16">
        <v>0</v>
      </c>
      <c r="AD178" s="16"/>
      <c r="AE178" s="16">
        <f t="shared" si="5"/>
        <v>576358</v>
      </c>
    </row>
    <row r="179" spans="1:31" ht="12.75" customHeight="1">
      <c r="A179" s="1" t="s">
        <v>195</v>
      </c>
      <c r="B179" s="1"/>
      <c r="C179" s="1" t="s">
        <v>73</v>
      </c>
      <c r="D179" s="16"/>
      <c r="E179" s="16">
        <v>0</v>
      </c>
      <c r="F179" s="16"/>
      <c r="G179" s="16">
        <v>8131633</v>
      </c>
      <c r="H179" s="16"/>
      <c r="I179" s="16">
        <v>753336</v>
      </c>
      <c r="J179" s="16"/>
      <c r="K179" s="16">
        <v>0</v>
      </c>
      <c r="L179" s="16"/>
      <c r="M179" s="16">
        <v>184239</v>
      </c>
      <c r="N179" s="16"/>
      <c r="O179" s="16">
        <v>215194</v>
      </c>
      <c r="P179" s="16"/>
      <c r="Q179" s="16">
        <v>198438</v>
      </c>
      <c r="R179" s="16"/>
      <c r="S179" s="16">
        <v>0</v>
      </c>
      <c r="T179" s="16"/>
      <c r="U179" s="16">
        <v>0</v>
      </c>
      <c r="V179" s="16"/>
      <c r="W179" s="16">
        <v>3284</v>
      </c>
      <c r="X179" s="16"/>
      <c r="Y179" s="16">
        <v>1281086</v>
      </c>
      <c r="Z179" s="16"/>
      <c r="AA179" s="16">
        <v>0</v>
      </c>
      <c r="AB179" s="16"/>
      <c r="AC179" s="16">
        <v>20422</v>
      </c>
      <c r="AD179" s="16"/>
      <c r="AE179" s="16">
        <f t="shared" si="5"/>
        <v>10787632</v>
      </c>
    </row>
    <row r="180" spans="1:31" ht="12.75" customHeight="1">
      <c r="A180" s="1" t="s">
        <v>566</v>
      </c>
      <c r="C180" s="1" t="s">
        <v>73</v>
      </c>
      <c r="E180" s="16">
        <v>162916</v>
      </c>
      <c r="F180" s="16"/>
      <c r="G180" s="16">
        <v>1814428</v>
      </c>
      <c r="H180" s="16"/>
      <c r="I180" s="16">
        <v>1789932</v>
      </c>
      <c r="J180" s="16"/>
      <c r="K180" s="16">
        <v>759</v>
      </c>
      <c r="L180" s="16"/>
      <c r="M180" s="16">
        <v>13287</v>
      </c>
      <c r="N180" s="16"/>
      <c r="O180" s="16">
        <v>107150</v>
      </c>
      <c r="P180" s="16"/>
      <c r="Q180" s="16">
        <v>51365</v>
      </c>
      <c r="R180" s="16"/>
      <c r="S180" s="16">
        <v>93389</v>
      </c>
      <c r="T180" s="16"/>
      <c r="U180" s="16">
        <v>0</v>
      </c>
      <c r="V180" s="16"/>
      <c r="W180" s="16">
        <v>0</v>
      </c>
      <c r="X180" s="16"/>
      <c r="Y180" s="16">
        <v>630173</v>
      </c>
      <c r="Z180" s="16"/>
      <c r="AA180" s="16">
        <v>95314</v>
      </c>
      <c r="AB180" s="16"/>
      <c r="AC180" s="16">
        <v>0</v>
      </c>
      <c r="AD180" s="16"/>
      <c r="AE180" s="16">
        <f t="shared" si="5"/>
        <v>4758713</v>
      </c>
    </row>
    <row r="181" spans="1:31" ht="12.75" customHeight="1">
      <c r="A181" s="1" t="s">
        <v>196</v>
      </c>
      <c r="B181" s="1"/>
      <c r="C181" s="1" t="s">
        <v>197</v>
      </c>
      <c r="D181" s="16"/>
      <c r="E181" s="16">
        <v>1006233</v>
      </c>
      <c r="F181" s="16"/>
      <c r="G181" s="16">
        <v>0</v>
      </c>
      <c r="H181" s="16"/>
      <c r="I181" s="16">
        <v>1094889</v>
      </c>
      <c r="J181" s="16"/>
      <c r="K181" s="16">
        <v>177049</v>
      </c>
      <c r="L181" s="16"/>
      <c r="M181" s="16">
        <v>57115</v>
      </c>
      <c r="N181" s="16"/>
      <c r="O181" s="16">
        <f>5128+22475</f>
        <v>27603</v>
      </c>
      <c r="P181" s="16"/>
      <c r="Q181" s="16">
        <v>10892</v>
      </c>
      <c r="R181" s="16"/>
      <c r="S181" s="16">
        <f>133268+880+200</f>
        <v>134348</v>
      </c>
      <c r="T181" s="16"/>
      <c r="U181" s="16">
        <v>379493</v>
      </c>
      <c r="V181" s="16"/>
      <c r="W181" s="16">
        <v>0</v>
      </c>
      <c r="X181" s="16"/>
      <c r="Y181" s="16">
        <v>245537</v>
      </c>
      <c r="Z181" s="16"/>
      <c r="AA181" s="16">
        <v>70000</v>
      </c>
      <c r="AB181" s="16"/>
      <c r="AC181" s="16">
        <v>0</v>
      </c>
      <c r="AD181" s="16"/>
      <c r="AE181" s="16">
        <f t="shared" si="5"/>
        <v>3203159</v>
      </c>
    </row>
    <row r="182" spans="1:31" ht="12.75" customHeight="1">
      <c r="A182" s="1" t="s">
        <v>198</v>
      </c>
      <c r="B182" s="1"/>
      <c r="C182" s="1" t="s">
        <v>199</v>
      </c>
      <c r="D182" s="16"/>
      <c r="E182" s="16">
        <v>3797</v>
      </c>
      <c r="F182" s="16"/>
      <c r="G182" s="16">
        <v>0</v>
      </c>
      <c r="H182" s="16"/>
      <c r="I182" s="16">
        <v>7105</v>
      </c>
      <c r="J182" s="16"/>
      <c r="K182" s="16">
        <v>0</v>
      </c>
      <c r="L182" s="16"/>
      <c r="M182" s="16">
        <v>0</v>
      </c>
      <c r="N182" s="16"/>
      <c r="O182" s="16">
        <v>0</v>
      </c>
      <c r="P182" s="16"/>
      <c r="Q182" s="16">
        <v>20</v>
      </c>
      <c r="R182" s="16"/>
      <c r="S182" s="16">
        <v>7759</v>
      </c>
      <c r="T182" s="16"/>
      <c r="U182" s="16">
        <v>0</v>
      </c>
      <c r="V182" s="16"/>
      <c r="W182" s="16">
        <v>0</v>
      </c>
      <c r="X182" s="16"/>
      <c r="Y182" s="16">
        <v>0</v>
      </c>
      <c r="Z182" s="16"/>
      <c r="AA182" s="16">
        <v>0</v>
      </c>
      <c r="AB182" s="16"/>
      <c r="AC182" s="16">
        <v>0</v>
      </c>
      <c r="AD182" s="16"/>
      <c r="AE182" s="16">
        <f t="shared" si="5"/>
        <v>18681</v>
      </c>
    </row>
    <row r="183" spans="1:31" ht="12.75" customHeight="1">
      <c r="A183" s="1" t="s">
        <v>662</v>
      </c>
      <c r="C183" s="1" t="s">
        <v>217</v>
      </c>
      <c r="E183" s="16">
        <v>164910</v>
      </c>
      <c r="F183" s="16"/>
      <c r="G183" s="16">
        <v>125531</v>
      </c>
      <c r="H183" s="16"/>
      <c r="I183" s="16">
        <v>70629</v>
      </c>
      <c r="J183" s="16"/>
      <c r="K183" s="16">
        <v>16229</v>
      </c>
      <c r="L183" s="16"/>
      <c r="M183" s="16">
        <v>3935</v>
      </c>
      <c r="N183" s="16"/>
      <c r="O183" s="16">
        <v>785</v>
      </c>
      <c r="P183" s="16"/>
      <c r="Q183" s="16">
        <v>1469</v>
      </c>
      <c r="R183" s="16"/>
      <c r="S183" s="16">
        <v>16388</v>
      </c>
      <c r="T183" s="16"/>
      <c r="U183" s="16">
        <v>0</v>
      </c>
      <c r="V183" s="16"/>
      <c r="W183" s="16">
        <v>0</v>
      </c>
      <c r="X183" s="16"/>
      <c r="Y183" s="16">
        <v>16650</v>
      </c>
      <c r="Z183" s="16"/>
      <c r="AA183" s="16">
        <v>16650</v>
      </c>
      <c r="AB183" s="16"/>
      <c r="AC183" s="16">
        <v>0</v>
      </c>
      <c r="AD183" s="16"/>
      <c r="AE183" s="16">
        <f t="shared" si="5"/>
        <v>433176</v>
      </c>
    </row>
    <row r="184" spans="1:31" ht="12.75" customHeight="1">
      <c r="A184" s="1" t="s">
        <v>200</v>
      </c>
      <c r="B184" s="1"/>
      <c r="C184" s="1" t="s">
        <v>87</v>
      </c>
      <c r="D184" s="16"/>
      <c r="E184" s="16">
        <v>107040</v>
      </c>
      <c r="F184" s="16"/>
      <c r="G184" s="16">
        <v>340139</v>
      </c>
      <c r="H184" s="16"/>
      <c r="I184" s="16">
        <v>154115</v>
      </c>
      <c r="J184" s="16"/>
      <c r="K184" s="16">
        <v>53475</v>
      </c>
      <c r="L184" s="16"/>
      <c r="M184" s="16">
        <v>24964</v>
      </c>
      <c r="N184" s="16"/>
      <c r="O184" s="16">
        <f>15708</f>
        <v>15708</v>
      </c>
      <c r="P184" s="16"/>
      <c r="Q184" s="16">
        <v>10688</v>
      </c>
      <c r="R184" s="16"/>
      <c r="S184" s="16">
        <v>27964</v>
      </c>
      <c r="T184" s="16"/>
      <c r="U184" s="16">
        <v>0</v>
      </c>
      <c r="V184" s="16"/>
      <c r="W184" s="16">
        <v>3181</v>
      </c>
      <c r="X184" s="16"/>
      <c r="Y184" s="16">
        <v>0</v>
      </c>
      <c r="Z184" s="16"/>
      <c r="AA184" s="16">
        <v>0</v>
      </c>
      <c r="AB184" s="16"/>
      <c r="AC184" s="16">
        <v>3213</v>
      </c>
      <c r="AD184" s="16"/>
      <c r="AE184" s="16">
        <f t="shared" si="5"/>
        <v>740487</v>
      </c>
    </row>
    <row r="185" spans="1:31" ht="12.75" customHeight="1">
      <c r="A185" s="1" t="s">
        <v>473</v>
      </c>
      <c r="B185" s="1"/>
      <c r="C185" s="1" t="s">
        <v>246</v>
      </c>
      <c r="E185" s="16">
        <v>49939</v>
      </c>
      <c r="F185" s="16"/>
      <c r="G185" s="16">
        <v>0</v>
      </c>
      <c r="H185" s="16"/>
      <c r="I185" s="16">
        <v>43434</v>
      </c>
      <c r="J185" s="16"/>
      <c r="K185" s="16">
        <v>0</v>
      </c>
      <c r="L185" s="16"/>
      <c r="M185" s="16">
        <v>4850</v>
      </c>
      <c r="N185" s="16"/>
      <c r="O185" s="16">
        <v>71629</v>
      </c>
      <c r="P185" s="16"/>
      <c r="Q185" s="16">
        <v>402</v>
      </c>
      <c r="R185" s="16"/>
      <c r="S185" s="16">
        <v>1710</v>
      </c>
      <c r="T185" s="16"/>
      <c r="U185" s="16">
        <v>8000</v>
      </c>
      <c r="V185" s="16"/>
      <c r="W185" s="16">
        <v>0</v>
      </c>
      <c r="X185" s="16"/>
      <c r="Y185" s="16">
        <v>0</v>
      </c>
      <c r="Z185" s="16"/>
      <c r="AA185" s="16">
        <v>0</v>
      </c>
      <c r="AB185" s="16"/>
      <c r="AC185" s="16">
        <v>0</v>
      </c>
      <c r="AD185" s="16"/>
      <c r="AE185" s="16">
        <f t="shared" si="5"/>
        <v>179964</v>
      </c>
    </row>
    <row r="186" spans="1:31" ht="12.75" customHeight="1">
      <c r="A186" s="1" t="s">
        <v>201</v>
      </c>
      <c r="B186" s="1"/>
      <c r="C186" s="1" t="s">
        <v>102</v>
      </c>
      <c r="D186" s="16"/>
      <c r="E186" s="16">
        <v>63874</v>
      </c>
      <c r="F186" s="16"/>
      <c r="G186" s="16">
        <v>111481</v>
      </c>
      <c r="H186" s="16"/>
      <c r="I186" s="16">
        <v>181176</v>
      </c>
      <c r="J186" s="16"/>
      <c r="K186" s="16">
        <v>0</v>
      </c>
      <c r="L186" s="16"/>
      <c r="M186" s="16">
        <v>30</v>
      </c>
      <c r="N186" s="16"/>
      <c r="O186" s="16">
        <v>19154</v>
      </c>
      <c r="P186" s="16"/>
      <c r="Q186" s="16">
        <v>5195</v>
      </c>
      <c r="R186" s="16"/>
      <c r="S186" s="16">
        <v>5780</v>
      </c>
      <c r="T186" s="16"/>
      <c r="U186" s="16">
        <v>0</v>
      </c>
      <c r="V186" s="16"/>
      <c r="W186" s="16">
        <v>0</v>
      </c>
      <c r="X186" s="16"/>
      <c r="Y186" s="16">
        <v>0</v>
      </c>
      <c r="Z186" s="16"/>
      <c r="AA186" s="16">
        <v>0</v>
      </c>
      <c r="AB186" s="16"/>
      <c r="AC186" s="16">
        <v>0</v>
      </c>
      <c r="AD186" s="16"/>
      <c r="AE186" s="16">
        <f t="shared" si="5"/>
        <v>386690</v>
      </c>
    </row>
    <row r="187" spans="1:31" ht="12.75" customHeight="1">
      <c r="A187" s="1" t="s">
        <v>654</v>
      </c>
      <c r="C187" s="1" t="s">
        <v>155</v>
      </c>
      <c r="E187" s="16">
        <v>19671</v>
      </c>
      <c r="F187" s="16"/>
      <c r="G187" s="16">
        <v>0</v>
      </c>
      <c r="H187" s="16"/>
      <c r="I187" s="16">
        <v>49180</v>
      </c>
      <c r="J187" s="16"/>
      <c r="K187" s="16">
        <v>10257</v>
      </c>
      <c r="L187" s="16"/>
      <c r="M187" s="16">
        <v>0</v>
      </c>
      <c r="N187" s="16"/>
      <c r="O187" s="16">
        <v>10208</v>
      </c>
      <c r="P187" s="16"/>
      <c r="Q187" s="16">
        <v>602</v>
      </c>
      <c r="R187" s="16"/>
      <c r="S187" s="16">
        <v>2796</v>
      </c>
      <c r="T187" s="16"/>
      <c r="U187" s="16">
        <v>0</v>
      </c>
      <c r="V187" s="16"/>
      <c r="W187" s="16">
        <v>0</v>
      </c>
      <c r="X187" s="16"/>
      <c r="Y187" s="16">
        <v>0</v>
      </c>
      <c r="Z187" s="16"/>
      <c r="AA187" s="16">
        <v>0</v>
      </c>
      <c r="AB187" s="16"/>
      <c r="AC187" s="16">
        <v>0</v>
      </c>
      <c r="AD187" s="16"/>
      <c r="AE187" s="16">
        <f t="shared" si="5"/>
        <v>92714</v>
      </c>
    </row>
    <row r="188" spans="1:31" ht="12.75" customHeight="1">
      <c r="A188" s="1" t="s">
        <v>584</v>
      </c>
      <c r="C188" s="1" t="s">
        <v>239</v>
      </c>
      <c r="E188" s="16">
        <v>12826</v>
      </c>
      <c r="F188" s="16"/>
      <c r="G188" s="16">
        <v>0</v>
      </c>
      <c r="H188" s="16"/>
      <c r="I188" s="16">
        <v>20473</v>
      </c>
      <c r="J188" s="16"/>
      <c r="K188" s="16">
        <v>0</v>
      </c>
      <c r="L188" s="16"/>
      <c r="M188" s="16">
        <v>0</v>
      </c>
      <c r="N188" s="16"/>
      <c r="O188" s="16">
        <v>0</v>
      </c>
      <c r="P188" s="16"/>
      <c r="Q188" s="16">
        <v>3707</v>
      </c>
      <c r="R188" s="16"/>
      <c r="S188" s="16">
        <v>1418</v>
      </c>
      <c r="T188" s="16"/>
      <c r="U188" s="16">
        <v>0</v>
      </c>
      <c r="V188" s="16"/>
      <c r="W188" s="16">
        <v>0</v>
      </c>
      <c r="X188" s="16"/>
      <c r="Y188" s="16">
        <v>0</v>
      </c>
      <c r="Z188" s="16"/>
      <c r="AA188" s="16">
        <v>0</v>
      </c>
      <c r="AB188" s="16"/>
      <c r="AC188" s="16">
        <v>0</v>
      </c>
      <c r="AD188" s="16"/>
      <c r="AE188" s="16">
        <f t="shared" si="5"/>
        <v>38424</v>
      </c>
    </row>
    <row r="189" spans="1:31" ht="12.75" customHeight="1">
      <c r="A189" s="1" t="s">
        <v>467</v>
      </c>
      <c r="B189" s="1"/>
      <c r="C189" s="1" t="s">
        <v>100</v>
      </c>
      <c r="E189" s="16">
        <v>72657</v>
      </c>
      <c r="F189" s="16"/>
      <c r="G189" s="16">
        <v>0</v>
      </c>
      <c r="H189" s="16"/>
      <c r="I189" s="16">
        <v>120606</v>
      </c>
      <c r="J189" s="16"/>
      <c r="K189" s="16">
        <v>0</v>
      </c>
      <c r="L189" s="16"/>
      <c r="M189" s="16">
        <v>127935</v>
      </c>
      <c r="N189" s="16"/>
      <c r="O189" s="16">
        <v>89</v>
      </c>
      <c r="P189" s="16"/>
      <c r="Q189" s="16">
        <v>8039</v>
      </c>
      <c r="R189" s="16"/>
      <c r="S189" s="16">
        <v>3073</v>
      </c>
      <c r="T189" s="16"/>
      <c r="U189" s="16">
        <v>0</v>
      </c>
      <c r="V189" s="16"/>
      <c r="W189" s="16">
        <v>0</v>
      </c>
      <c r="X189" s="16"/>
      <c r="Y189" s="16">
        <v>0</v>
      </c>
      <c r="Z189" s="16"/>
      <c r="AA189" s="16">
        <v>22000</v>
      </c>
      <c r="AB189" s="16"/>
      <c r="AC189" s="16">
        <v>0</v>
      </c>
      <c r="AD189" s="16"/>
      <c r="AE189" s="16">
        <f t="shared" si="5"/>
        <v>354399</v>
      </c>
    </row>
    <row r="190" spans="1:31" ht="12.75" customHeight="1">
      <c r="A190" s="1" t="s">
        <v>202</v>
      </c>
      <c r="B190" s="1"/>
      <c r="C190" s="1" t="s">
        <v>65</v>
      </c>
      <c r="D190" s="16"/>
      <c r="E190" s="16">
        <v>27685</v>
      </c>
      <c r="F190" s="16"/>
      <c r="G190" s="16">
        <v>221196</v>
      </c>
      <c r="H190" s="16"/>
      <c r="I190" s="16">
        <v>186803</v>
      </c>
      <c r="J190" s="16"/>
      <c r="K190" s="16">
        <v>0</v>
      </c>
      <c r="L190" s="16"/>
      <c r="M190" s="16">
        <v>6420</v>
      </c>
      <c r="N190" s="16"/>
      <c r="O190" s="16">
        <v>4562</v>
      </c>
      <c r="P190" s="16"/>
      <c r="Q190" s="16">
        <v>7529</v>
      </c>
      <c r="R190" s="16"/>
      <c r="S190" s="16">
        <v>12583</v>
      </c>
      <c r="T190" s="16"/>
      <c r="U190" s="16">
        <v>0</v>
      </c>
      <c r="V190" s="16"/>
      <c r="W190" s="16">
        <v>0</v>
      </c>
      <c r="X190" s="16"/>
      <c r="Y190" s="16">
        <v>76593</v>
      </c>
      <c r="Z190" s="16"/>
      <c r="AA190" s="16">
        <v>0</v>
      </c>
      <c r="AB190" s="16"/>
      <c r="AC190" s="16">
        <v>0</v>
      </c>
      <c r="AD190" s="16"/>
      <c r="AE190" s="16">
        <f t="shared" si="5"/>
        <v>543371</v>
      </c>
    </row>
    <row r="191" spans="1:31" ht="12.75" customHeight="1">
      <c r="A191" s="1" t="s">
        <v>703</v>
      </c>
      <c r="C191" s="1" t="s">
        <v>110</v>
      </c>
      <c r="E191" s="16">
        <v>11790</v>
      </c>
      <c r="F191" s="16"/>
      <c r="G191" s="16">
        <v>73666</v>
      </c>
      <c r="H191" s="16"/>
      <c r="I191" s="16">
        <v>153244</v>
      </c>
      <c r="J191" s="16"/>
      <c r="K191" s="16">
        <v>0</v>
      </c>
      <c r="L191" s="16"/>
      <c r="M191" s="16">
        <v>19146</v>
      </c>
      <c r="N191" s="16"/>
      <c r="O191" s="16">
        <v>243</v>
      </c>
      <c r="P191" s="16"/>
      <c r="Q191" s="16">
        <v>7612</v>
      </c>
      <c r="R191" s="16"/>
      <c r="S191" s="16">
        <v>6318</v>
      </c>
      <c r="T191" s="16"/>
      <c r="U191" s="16">
        <v>0</v>
      </c>
      <c r="V191" s="16"/>
      <c r="W191" s="16">
        <v>0</v>
      </c>
      <c r="X191" s="16"/>
      <c r="Y191" s="16">
        <v>0</v>
      </c>
      <c r="Z191" s="16"/>
      <c r="AA191" s="16">
        <v>130000</v>
      </c>
      <c r="AB191" s="16"/>
      <c r="AC191" s="16">
        <v>0</v>
      </c>
      <c r="AD191" s="16"/>
      <c r="AE191" s="16">
        <f t="shared" si="5"/>
        <v>402019</v>
      </c>
    </row>
    <row r="192" spans="1:31" ht="12.75" customHeight="1">
      <c r="A192" s="1" t="s">
        <v>727</v>
      </c>
      <c r="C192" s="1" t="s">
        <v>131</v>
      </c>
      <c r="E192" s="16">
        <v>91230</v>
      </c>
      <c r="F192" s="16"/>
      <c r="G192" s="16">
        <v>681810</v>
      </c>
      <c r="H192" s="16"/>
      <c r="I192" s="16">
        <v>269400</v>
      </c>
      <c r="J192" s="16"/>
      <c r="K192" s="16">
        <v>13046</v>
      </c>
      <c r="L192" s="16"/>
      <c r="M192" s="16">
        <v>6951</v>
      </c>
      <c r="N192" s="16"/>
      <c r="O192" s="16">
        <v>3625</v>
      </c>
      <c r="P192" s="16"/>
      <c r="Q192" s="16">
        <v>10931</v>
      </c>
      <c r="R192" s="16"/>
      <c r="S192" s="16">
        <v>14024</v>
      </c>
      <c r="T192" s="16"/>
      <c r="U192" s="16">
        <v>400000</v>
      </c>
      <c r="V192" s="16"/>
      <c r="W192" s="16">
        <v>54696</v>
      </c>
      <c r="X192" s="16"/>
      <c r="Y192" s="16">
        <v>0</v>
      </c>
      <c r="Z192" s="16"/>
      <c r="AA192" s="16">
        <v>80046</v>
      </c>
      <c r="AB192" s="16"/>
      <c r="AC192" s="16">
        <v>0</v>
      </c>
      <c r="AD192" s="16"/>
      <c r="AE192" s="16">
        <f t="shared" si="5"/>
        <v>1625759</v>
      </c>
    </row>
    <row r="193" spans="1:31" ht="12.75" customHeight="1">
      <c r="A193" s="1" t="s">
        <v>203</v>
      </c>
      <c r="B193" s="1"/>
      <c r="C193" s="1" t="s">
        <v>167</v>
      </c>
      <c r="D193" s="16"/>
      <c r="E193" s="16">
        <f>308060-45388</f>
        <v>262672</v>
      </c>
      <c r="F193" s="16"/>
      <c r="G193" s="16">
        <v>0</v>
      </c>
      <c r="H193" s="16"/>
      <c r="I193" s="16">
        <v>139524</v>
      </c>
      <c r="J193" s="16"/>
      <c r="K193" s="16">
        <v>14899</v>
      </c>
      <c r="L193" s="16"/>
      <c r="M193" s="16">
        <v>15004</v>
      </c>
      <c r="N193" s="16"/>
      <c r="O193" s="16">
        <v>537</v>
      </c>
      <c r="P193" s="16"/>
      <c r="Q193" s="16">
        <v>1905</v>
      </c>
      <c r="R193" s="16"/>
      <c r="S193" s="16">
        <v>40084</v>
      </c>
      <c r="T193" s="16"/>
      <c r="U193" s="16">
        <v>0</v>
      </c>
      <c r="V193" s="16"/>
      <c r="W193" s="16">
        <v>0</v>
      </c>
      <c r="X193" s="16"/>
      <c r="Y193" s="16">
        <v>272324</v>
      </c>
      <c r="Z193" s="16"/>
      <c r="AA193" s="16">
        <v>0</v>
      </c>
      <c r="AB193" s="16"/>
      <c r="AC193" s="16">
        <v>20441</v>
      </c>
      <c r="AD193" s="16"/>
      <c r="AE193" s="16">
        <f t="shared" si="5"/>
        <v>767390</v>
      </c>
    </row>
    <row r="194" spans="1:31" ht="12.75" customHeight="1">
      <c r="A194" s="1" t="s">
        <v>204</v>
      </c>
      <c r="B194" s="1"/>
      <c r="C194" s="1" t="s">
        <v>126</v>
      </c>
      <c r="E194" s="16">
        <f>64950+51133+40472</f>
        <v>156555</v>
      </c>
      <c r="F194" s="16"/>
      <c r="G194" s="16">
        <v>0</v>
      </c>
      <c r="H194" s="16"/>
      <c r="I194" s="16">
        <f>138269+218951+8286+4602</f>
        <v>370108</v>
      </c>
      <c r="J194" s="16"/>
      <c r="K194" s="16">
        <v>0</v>
      </c>
      <c r="L194" s="16"/>
      <c r="M194" s="16">
        <v>0</v>
      </c>
      <c r="N194" s="16"/>
      <c r="O194" s="16">
        <f>32348+521+319</f>
        <v>33188</v>
      </c>
      <c r="P194" s="16"/>
      <c r="Q194" s="16">
        <f>3293+1177</f>
        <v>4470</v>
      </c>
      <c r="R194" s="16"/>
      <c r="S194" s="16">
        <f>2111+2401</f>
        <v>4512</v>
      </c>
      <c r="T194" s="16"/>
      <c r="U194" s="16">
        <v>0</v>
      </c>
      <c r="V194" s="16"/>
      <c r="W194" s="16">
        <v>0</v>
      </c>
      <c r="X194" s="16"/>
      <c r="Y194" s="16">
        <v>1738</v>
      </c>
      <c r="Z194" s="16"/>
      <c r="AA194" s="16">
        <v>0</v>
      </c>
      <c r="AB194" s="16"/>
      <c r="AC194" s="16">
        <v>19243</v>
      </c>
      <c r="AD194" s="16"/>
      <c r="AE194" s="16">
        <f t="shared" si="5"/>
        <v>589814</v>
      </c>
    </row>
    <row r="195" spans="1:31" ht="12.75" customHeight="1">
      <c r="A195" s="1" t="s">
        <v>715</v>
      </c>
      <c r="C195" s="1" t="s">
        <v>712</v>
      </c>
      <c r="E195" s="16">
        <v>29288</v>
      </c>
      <c r="F195" s="16"/>
      <c r="G195" s="16">
        <v>0</v>
      </c>
      <c r="H195" s="16"/>
      <c r="I195" s="16">
        <v>107568</v>
      </c>
      <c r="J195" s="16"/>
      <c r="K195" s="16">
        <v>0</v>
      </c>
      <c r="L195" s="16"/>
      <c r="M195" s="16">
        <v>0</v>
      </c>
      <c r="N195" s="16"/>
      <c r="O195" s="16">
        <v>0</v>
      </c>
      <c r="P195" s="16"/>
      <c r="Q195" s="16">
        <v>29339</v>
      </c>
      <c r="R195" s="16"/>
      <c r="S195" s="16">
        <v>671</v>
      </c>
      <c r="T195" s="16"/>
      <c r="U195" s="16">
        <v>0</v>
      </c>
      <c r="V195" s="16"/>
      <c r="W195" s="16">
        <v>0</v>
      </c>
      <c r="X195" s="16"/>
      <c r="Y195" s="16">
        <v>0</v>
      </c>
      <c r="Z195" s="16"/>
      <c r="AA195" s="16">
        <v>0</v>
      </c>
      <c r="AB195" s="16"/>
      <c r="AC195" s="16">
        <v>4669</v>
      </c>
      <c r="AD195" s="16"/>
      <c r="AE195" s="16">
        <f t="shared" si="5"/>
        <v>171535</v>
      </c>
    </row>
    <row r="196" spans="1:31" ht="12.75" customHeight="1">
      <c r="A196" s="1" t="s">
        <v>669</v>
      </c>
      <c r="C196" s="1" t="s">
        <v>67</v>
      </c>
      <c r="E196" s="16">
        <v>61110</v>
      </c>
      <c r="F196" s="16"/>
      <c r="G196" s="16">
        <v>168851</v>
      </c>
      <c r="H196" s="16"/>
      <c r="I196" s="16">
        <v>1274586</v>
      </c>
      <c r="J196" s="16"/>
      <c r="K196" s="16">
        <v>36711</v>
      </c>
      <c r="L196" s="16"/>
      <c r="M196" s="16">
        <v>13596</v>
      </c>
      <c r="N196" s="16"/>
      <c r="O196" s="16">
        <v>23194</v>
      </c>
      <c r="P196" s="16"/>
      <c r="Q196" s="16">
        <v>0</v>
      </c>
      <c r="R196" s="16"/>
      <c r="S196" s="16">
        <v>0</v>
      </c>
      <c r="T196" s="16"/>
      <c r="U196" s="16">
        <v>0</v>
      </c>
      <c r="V196" s="16"/>
      <c r="W196" s="16">
        <v>0</v>
      </c>
      <c r="X196" s="16"/>
      <c r="Y196" s="16">
        <v>5000</v>
      </c>
      <c r="Z196" s="16"/>
      <c r="AA196" s="16">
        <v>0</v>
      </c>
      <c r="AB196" s="16"/>
      <c r="AC196" s="16">
        <v>54956</v>
      </c>
      <c r="AD196" s="16"/>
      <c r="AE196" s="16">
        <f t="shared" si="5"/>
        <v>1638004</v>
      </c>
    </row>
    <row r="197" spans="1:31" ht="12.75" customHeight="1">
      <c r="A197" s="1" t="s">
        <v>205</v>
      </c>
      <c r="B197" s="1"/>
      <c r="C197" s="1" t="s">
        <v>84</v>
      </c>
      <c r="D197" s="16"/>
      <c r="E197" s="16">
        <f>34283+17518</f>
        <v>51801</v>
      </c>
      <c r="F197" s="16"/>
      <c r="G197" s="16">
        <v>0</v>
      </c>
      <c r="H197" s="16"/>
      <c r="I197" s="16">
        <f>18302+21466</f>
        <v>39768</v>
      </c>
      <c r="J197" s="16"/>
      <c r="K197" s="16">
        <v>0</v>
      </c>
      <c r="L197" s="16"/>
      <c r="M197" s="16">
        <v>13500</v>
      </c>
      <c r="N197" s="16"/>
      <c r="O197" s="16">
        <v>0</v>
      </c>
      <c r="P197" s="16"/>
      <c r="Q197" s="16">
        <v>0</v>
      </c>
      <c r="R197" s="16"/>
      <c r="S197" s="16">
        <v>8233</v>
      </c>
      <c r="T197" s="16"/>
      <c r="U197" s="16">
        <v>0</v>
      </c>
      <c r="V197" s="16"/>
      <c r="W197" s="16">
        <v>0</v>
      </c>
      <c r="X197" s="16"/>
      <c r="Y197" s="16">
        <v>0</v>
      </c>
      <c r="Z197" s="16"/>
      <c r="AA197" s="16">
        <v>0</v>
      </c>
      <c r="AB197" s="16"/>
      <c r="AC197" s="16">
        <v>0</v>
      </c>
      <c r="AD197" s="16"/>
      <c r="AE197" s="16">
        <f t="shared" si="5"/>
        <v>113302</v>
      </c>
    </row>
    <row r="198" spans="1:31" ht="12.75" customHeight="1">
      <c r="A198" s="1" t="s">
        <v>206</v>
      </c>
      <c r="B198" s="1"/>
      <c r="C198" s="1" t="s">
        <v>182</v>
      </c>
      <c r="D198" s="16"/>
      <c r="E198" s="16">
        <v>172113</v>
      </c>
      <c r="F198" s="16"/>
      <c r="G198" s="16">
        <v>380866</v>
      </c>
      <c r="H198" s="16"/>
      <c r="I198" s="16">
        <f>86666+125624</f>
        <v>212290</v>
      </c>
      <c r="J198" s="16"/>
      <c r="K198" s="16">
        <v>0</v>
      </c>
      <c r="L198" s="16"/>
      <c r="M198" s="16">
        <v>0</v>
      </c>
      <c r="N198" s="16"/>
      <c r="O198" s="16">
        <v>6630</v>
      </c>
      <c r="P198" s="16"/>
      <c r="Q198" s="16">
        <v>3681</v>
      </c>
      <c r="R198" s="16"/>
      <c r="S198" s="16">
        <v>22757</v>
      </c>
      <c r="T198" s="16"/>
      <c r="U198" s="16">
        <v>0</v>
      </c>
      <c r="V198" s="16"/>
      <c r="W198" s="16">
        <v>0</v>
      </c>
      <c r="X198" s="16"/>
      <c r="Y198" s="16">
        <v>1500</v>
      </c>
      <c r="Z198" s="16"/>
      <c r="AA198" s="16">
        <v>0</v>
      </c>
      <c r="AB198" s="16"/>
      <c r="AC198" s="16">
        <v>0</v>
      </c>
      <c r="AD198" s="16"/>
      <c r="AE198" s="16">
        <f t="shared" si="5"/>
        <v>799837</v>
      </c>
    </row>
    <row r="199" spans="1:31" ht="12.75" customHeight="1">
      <c r="A199" s="1" t="s">
        <v>207</v>
      </c>
      <c r="B199" s="1"/>
      <c r="C199" s="1" t="s">
        <v>133</v>
      </c>
      <c r="D199" s="16"/>
      <c r="E199" s="16">
        <f>59905</f>
        <v>59905</v>
      </c>
      <c r="F199" s="16"/>
      <c r="G199" s="16">
        <v>59013</v>
      </c>
      <c r="H199" s="16"/>
      <c r="I199" s="16">
        <v>21388</v>
      </c>
      <c r="J199" s="16"/>
      <c r="K199" s="16">
        <v>0</v>
      </c>
      <c r="L199" s="16"/>
      <c r="M199" s="16">
        <v>0</v>
      </c>
      <c r="N199" s="16"/>
      <c r="O199" s="16">
        <v>0</v>
      </c>
      <c r="P199" s="16"/>
      <c r="Q199" s="16">
        <v>252</v>
      </c>
      <c r="R199" s="16"/>
      <c r="S199" s="16">
        <v>2229</v>
      </c>
      <c r="T199" s="16"/>
      <c r="U199" s="16">
        <v>0</v>
      </c>
      <c r="V199" s="16"/>
      <c r="W199" s="16">
        <v>0</v>
      </c>
      <c r="X199" s="16"/>
      <c r="Y199" s="16">
        <v>0</v>
      </c>
      <c r="Z199" s="16"/>
      <c r="AA199" s="16">
        <v>0</v>
      </c>
      <c r="AB199" s="16"/>
      <c r="AC199" s="16">
        <v>0</v>
      </c>
      <c r="AD199" s="16"/>
      <c r="AE199" s="16">
        <f t="shared" si="5"/>
        <v>142787</v>
      </c>
    </row>
    <row r="200" spans="1:31" ht="12.75" customHeight="1">
      <c r="A200" s="1" t="s">
        <v>87</v>
      </c>
      <c r="C200" s="1" t="s">
        <v>309</v>
      </c>
      <c r="E200" s="16">
        <v>8634</v>
      </c>
      <c r="F200" s="16"/>
      <c r="G200" s="16">
        <v>0</v>
      </c>
      <c r="H200" s="16"/>
      <c r="I200" s="16">
        <v>25306</v>
      </c>
      <c r="J200" s="16"/>
      <c r="K200" s="16">
        <v>2</v>
      </c>
      <c r="L200" s="16"/>
      <c r="M200" s="16">
        <v>6260</v>
      </c>
      <c r="N200" s="16"/>
      <c r="O200" s="16">
        <v>1401</v>
      </c>
      <c r="P200" s="16"/>
      <c r="Q200" s="16">
        <v>841</v>
      </c>
      <c r="R200" s="16"/>
      <c r="S200" s="16">
        <v>367</v>
      </c>
      <c r="T200" s="16"/>
      <c r="U200" s="16">
        <v>0</v>
      </c>
      <c r="V200" s="16"/>
      <c r="W200" s="16">
        <v>0</v>
      </c>
      <c r="X200" s="16"/>
      <c r="Y200" s="16">
        <v>0</v>
      </c>
      <c r="Z200" s="16"/>
      <c r="AA200" s="16">
        <v>0</v>
      </c>
      <c r="AB200" s="16"/>
      <c r="AC200" s="16">
        <v>0</v>
      </c>
      <c r="AD200" s="16"/>
      <c r="AE200" s="16">
        <f t="shared" si="5"/>
        <v>42811</v>
      </c>
    </row>
    <row r="201" spans="1:31" ht="12.75" customHeight="1">
      <c r="A201" s="1" t="s">
        <v>208</v>
      </c>
      <c r="B201" s="1"/>
      <c r="C201" s="1" t="s">
        <v>67</v>
      </c>
      <c r="D201" s="16"/>
      <c r="E201" s="16">
        <v>2111</v>
      </c>
      <c r="F201" s="16"/>
      <c r="G201" s="16">
        <v>0</v>
      </c>
      <c r="H201" s="16"/>
      <c r="I201" s="16">
        <f>11513+2475</f>
        <v>13988</v>
      </c>
      <c r="J201" s="16"/>
      <c r="K201" s="16">
        <v>0</v>
      </c>
      <c r="L201" s="16"/>
      <c r="M201" s="16">
        <v>0</v>
      </c>
      <c r="N201" s="16"/>
      <c r="O201" s="16">
        <v>0</v>
      </c>
      <c r="P201" s="16"/>
      <c r="Q201" s="16">
        <v>0</v>
      </c>
      <c r="R201" s="16"/>
      <c r="S201" s="16">
        <f>407+801</f>
        <v>1208</v>
      </c>
      <c r="T201" s="16"/>
      <c r="U201" s="16">
        <v>0</v>
      </c>
      <c r="V201" s="16"/>
      <c r="W201" s="16">
        <v>0</v>
      </c>
      <c r="X201" s="16"/>
      <c r="Y201" s="16">
        <v>0</v>
      </c>
      <c r="Z201" s="16"/>
      <c r="AA201" s="16">
        <v>0</v>
      </c>
      <c r="AB201" s="16"/>
      <c r="AC201" s="16">
        <v>0</v>
      </c>
      <c r="AD201" s="16"/>
      <c r="AE201" s="16">
        <f t="shared" si="5"/>
        <v>17307</v>
      </c>
    </row>
    <row r="202" spans="1:31" ht="12.75" customHeight="1">
      <c r="A202" s="1" t="s">
        <v>784</v>
      </c>
      <c r="B202" s="1"/>
      <c r="E202" s="1"/>
      <c r="F202" s="1"/>
      <c r="G202" s="1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20"/>
      <c r="AC202" s="16"/>
      <c r="AD202" s="20"/>
      <c r="AE202" s="32" t="s">
        <v>785</v>
      </c>
    </row>
    <row r="203" spans="1:31" s="36" customFormat="1" ht="12.75" customHeight="1">
      <c r="A203" s="36" t="s">
        <v>526</v>
      </c>
      <c r="B203" s="42"/>
      <c r="C203" s="36" t="s">
        <v>90</v>
      </c>
      <c r="E203" s="36">
        <v>26853</v>
      </c>
      <c r="G203" s="36">
        <v>113634</v>
      </c>
      <c r="I203" s="36">
        <v>87180</v>
      </c>
      <c r="K203" s="36">
        <v>0</v>
      </c>
      <c r="M203" s="36">
        <v>285</v>
      </c>
      <c r="O203" s="36">
        <v>66545</v>
      </c>
      <c r="Q203" s="36">
        <v>2940</v>
      </c>
      <c r="S203" s="36">
        <v>1115</v>
      </c>
      <c r="U203" s="36">
        <v>0</v>
      </c>
      <c r="W203" s="36">
        <v>0</v>
      </c>
      <c r="Y203" s="36">
        <v>0</v>
      </c>
      <c r="AA203" s="36">
        <v>0</v>
      </c>
      <c r="AC203" s="36">
        <v>0</v>
      </c>
      <c r="AE203" s="36">
        <f aca="true" t="shared" si="6" ref="AE203:AE234">SUM(E203:AC203)</f>
        <v>298552</v>
      </c>
    </row>
    <row r="204" spans="1:31" ht="12.75" customHeight="1">
      <c r="A204" s="1" t="s">
        <v>209</v>
      </c>
      <c r="B204" s="1"/>
      <c r="C204" s="1" t="s">
        <v>210</v>
      </c>
      <c r="D204" s="16"/>
      <c r="E204" s="16">
        <f>1694313+231480</f>
        <v>1925793</v>
      </c>
      <c r="F204" s="16"/>
      <c r="G204" s="16">
        <v>0</v>
      </c>
      <c r="H204" s="16"/>
      <c r="I204" s="16">
        <v>488271</v>
      </c>
      <c r="J204" s="16"/>
      <c r="K204" s="16">
        <v>0</v>
      </c>
      <c r="L204" s="16"/>
      <c r="M204" s="16">
        <f>294657+61367</f>
        <v>356024</v>
      </c>
      <c r="N204" s="16"/>
      <c r="O204" s="16">
        <v>574490</v>
      </c>
      <c r="P204" s="16"/>
      <c r="Q204" s="16">
        <f>53700-231</f>
        <v>53469</v>
      </c>
      <c r="R204" s="16"/>
      <c r="S204" s="16">
        <f>85950</f>
        <v>85950</v>
      </c>
      <c r="T204" s="16"/>
      <c r="U204" s="16">
        <v>205000</v>
      </c>
      <c r="V204" s="16"/>
      <c r="W204" s="16">
        <v>0</v>
      </c>
      <c r="X204" s="16"/>
      <c r="Y204" s="16">
        <v>313698</v>
      </c>
      <c r="Z204" s="16"/>
      <c r="AA204" s="16">
        <v>197267</v>
      </c>
      <c r="AB204" s="16"/>
      <c r="AC204" s="16">
        <v>0</v>
      </c>
      <c r="AD204" s="16"/>
      <c r="AE204" s="16">
        <f t="shared" si="6"/>
        <v>4199962</v>
      </c>
    </row>
    <row r="205" spans="1:31" ht="12.75" customHeight="1">
      <c r="A205" s="1" t="s">
        <v>211</v>
      </c>
      <c r="B205" s="1"/>
      <c r="C205" s="1" t="s">
        <v>182</v>
      </c>
      <c r="D205" s="16"/>
      <c r="E205" s="16">
        <v>506840</v>
      </c>
      <c r="F205" s="16"/>
      <c r="G205" s="16">
        <v>0</v>
      </c>
      <c r="H205" s="16"/>
      <c r="I205" s="16">
        <v>79392</v>
      </c>
      <c r="J205" s="16"/>
      <c r="K205" s="16">
        <v>0</v>
      </c>
      <c r="L205" s="16"/>
      <c r="M205" s="16">
        <v>11471</v>
      </c>
      <c r="N205" s="16"/>
      <c r="O205" s="16">
        <v>25120</v>
      </c>
      <c r="P205" s="16"/>
      <c r="Q205" s="16">
        <v>0</v>
      </c>
      <c r="R205" s="16"/>
      <c r="S205" s="16">
        <v>16502</v>
      </c>
      <c r="T205" s="16"/>
      <c r="U205" s="16">
        <v>0</v>
      </c>
      <c r="V205" s="16"/>
      <c r="W205" s="16">
        <v>0</v>
      </c>
      <c r="X205" s="16"/>
      <c r="Y205" s="16">
        <v>0</v>
      </c>
      <c r="Z205" s="16"/>
      <c r="AA205" s="16">
        <v>0</v>
      </c>
      <c r="AB205" s="16"/>
      <c r="AC205" s="16">
        <v>0</v>
      </c>
      <c r="AD205" s="16"/>
      <c r="AE205" s="16">
        <f t="shared" si="6"/>
        <v>639325</v>
      </c>
    </row>
    <row r="206" spans="1:31" ht="12.75" customHeight="1">
      <c r="A206" s="1" t="s">
        <v>605</v>
      </c>
      <c r="C206" s="1" t="s">
        <v>182</v>
      </c>
      <c r="E206" s="16">
        <v>3629</v>
      </c>
      <c r="F206" s="16"/>
      <c r="G206" s="16">
        <v>0</v>
      </c>
      <c r="H206" s="16"/>
      <c r="I206" s="16">
        <v>18810</v>
      </c>
      <c r="J206" s="16"/>
      <c r="K206" s="16">
        <v>0</v>
      </c>
      <c r="L206" s="16"/>
      <c r="M206" s="16">
        <v>0</v>
      </c>
      <c r="N206" s="16"/>
      <c r="O206" s="16">
        <v>0</v>
      </c>
      <c r="P206" s="16"/>
      <c r="Q206" s="16">
        <v>391</v>
      </c>
      <c r="R206" s="16"/>
      <c r="S206" s="16">
        <v>872</v>
      </c>
      <c r="T206" s="16"/>
      <c r="U206" s="16">
        <v>0</v>
      </c>
      <c r="V206" s="16"/>
      <c r="W206" s="16">
        <v>0</v>
      </c>
      <c r="X206" s="16"/>
      <c r="Y206" s="16">
        <v>0</v>
      </c>
      <c r="Z206" s="16"/>
      <c r="AA206" s="16">
        <v>0</v>
      </c>
      <c r="AB206" s="16"/>
      <c r="AC206" s="16">
        <v>0</v>
      </c>
      <c r="AD206" s="16"/>
      <c r="AE206" s="16">
        <f t="shared" si="6"/>
        <v>23702</v>
      </c>
    </row>
    <row r="207" spans="1:31" ht="12.75" customHeight="1">
      <c r="A207" s="1" t="s">
        <v>212</v>
      </c>
      <c r="B207" s="1"/>
      <c r="C207" s="1" t="s">
        <v>137</v>
      </c>
      <c r="D207" s="16"/>
      <c r="E207" s="16">
        <f>126181+26761</f>
        <v>152942</v>
      </c>
      <c r="F207" s="16"/>
      <c r="G207" s="16">
        <f>688999+220480+9187</f>
        <v>918666</v>
      </c>
      <c r="H207" s="16"/>
      <c r="I207" s="16">
        <f>158156+122137</f>
        <v>280293</v>
      </c>
      <c r="J207" s="16"/>
      <c r="K207" s="16">
        <v>0</v>
      </c>
      <c r="L207" s="16"/>
      <c r="M207" s="16">
        <f>53797</f>
        <v>53797</v>
      </c>
      <c r="N207" s="16"/>
      <c r="O207" s="16">
        <f>16507+17592</f>
        <v>34099</v>
      </c>
      <c r="P207" s="16"/>
      <c r="Q207" s="16">
        <f>7405+5453</f>
        <v>12858</v>
      </c>
      <c r="R207" s="16"/>
      <c r="S207" s="16">
        <v>50366</v>
      </c>
      <c r="T207" s="16"/>
      <c r="U207" s="16">
        <v>0</v>
      </c>
      <c r="V207" s="16"/>
      <c r="W207" s="16">
        <v>1563</v>
      </c>
      <c r="X207" s="16"/>
      <c r="Y207" s="16">
        <v>0</v>
      </c>
      <c r="Z207" s="16"/>
      <c r="AA207" s="16">
        <v>0</v>
      </c>
      <c r="AB207" s="16"/>
      <c r="AC207" s="16">
        <v>315</v>
      </c>
      <c r="AD207" s="16"/>
      <c r="AE207" s="16">
        <f t="shared" si="6"/>
        <v>1504899</v>
      </c>
    </row>
    <row r="208" spans="1:31" ht="12.75" customHeight="1">
      <c r="A208" s="1" t="s">
        <v>213</v>
      </c>
      <c r="B208" s="1"/>
      <c r="C208" s="1" t="s">
        <v>112</v>
      </c>
      <c r="D208" s="16"/>
      <c r="E208" s="16">
        <f>2628149+232492</f>
        <v>2860641</v>
      </c>
      <c r="F208" s="16"/>
      <c r="G208" s="16">
        <v>0</v>
      </c>
      <c r="H208" s="16"/>
      <c r="I208" s="16">
        <f>683761+140271+890153</f>
        <v>1714185</v>
      </c>
      <c r="J208" s="16"/>
      <c r="K208" s="16">
        <v>31043</v>
      </c>
      <c r="L208" s="16"/>
      <c r="M208" s="16">
        <v>48570</v>
      </c>
      <c r="N208" s="16"/>
      <c r="O208" s="16">
        <f>144901+2828</f>
        <v>147729</v>
      </c>
      <c r="P208" s="16"/>
      <c r="Q208" s="16">
        <f>57798+910+3476</f>
        <v>62184</v>
      </c>
      <c r="R208" s="16"/>
      <c r="S208" s="16">
        <f>231850+457363</f>
        <v>689213</v>
      </c>
      <c r="T208" s="16"/>
      <c r="U208" s="16">
        <v>2004220</v>
      </c>
      <c r="V208" s="16"/>
      <c r="W208" s="16">
        <v>0</v>
      </c>
      <c r="X208" s="16"/>
      <c r="Y208" s="16">
        <v>90900</v>
      </c>
      <c r="Z208" s="16"/>
      <c r="AA208" s="16">
        <v>50000</v>
      </c>
      <c r="AB208" s="16"/>
      <c r="AC208" s="16">
        <v>0</v>
      </c>
      <c r="AD208" s="16"/>
      <c r="AE208" s="16">
        <f t="shared" si="6"/>
        <v>7698685</v>
      </c>
    </row>
    <row r="209" spans="1:31" ht="12.75" customHeight="1">
      <c r="A209" s="1" t="s">
        <v>456</v>
      </c>
      <c r="B209" s="1"/>
      <c r="C209" s="1" t="s">
        <v>76</v>
      </c>
      <c r="E209" s="16">
        <v>324101</v>
      </c>
      <c r="F209" s="16"/>
      <c r="G209" s="16">
        <v>152668</v>
      </c>
      <c r="H209" s="16"/>
      <c r="I209" s="16">
        <v>197913</v>
      </c>
      <c r="J209" s="16"/>
      <c r="K209" s="16">
        <v>0</v>
      </c>
      <c r="L209" s="16"/>
      <c r="M209" s="16">
        <v>21483</v>
      </c>
      <c r="N209" s="16"/>
      <c r="O209" s="16">
        <v>60070</v>
      </c>
      <c r="P209" s="16"/>
      <c r="Q209" s="16">
        <v>1892</v>
      </c>
      <c r="R209" s="16"/>
      <c r="S209" s="16">
        <v>54064</v>
      </c>
      <c r="T209" s="16"/>
      <c r="U209" s="16">
        <v>0</v>
      </c>
      <c r="V209" s="16"/>
      <c r="W209" s="16">
        <v>0</v>
      </c>
      <c r="X209" s="16"/>
      <c r="Y209" s="16">
        <v>10089</v>
      </c>
      <c r="Z209" s="16"/>
      <c r="AA209" s="16">
        <v>700</v>
      </c>
      <c r="AB209" s="16"/>
      <c r="AC209" s="16">
        <v>0</v>
      </c>
      <c r="AD209" s="16"/>
      <c r="AE209" s="16">
        <f t="shared" si="6"/>
        <v>822980</v>
      </c>
    </row>
    <row r="210" spans="1:31" ht="12.75" customHeight="1">
      <c r="A210" s="1" t="s">
        <v>214</v>
      </c>
      <c r="B210" s="1"/>
      <c r="C210" s="1" t="s">
        <v>215</v>
      </c>
      <c r="D210" s="16"/>
      <c r="E210" s="16">
        <f>88329+61245</f>
        <v>149574</v>
      </c>
      <c r="F210" s="16"/>
      <c r="G210" s="16">
        <v>0</v>
      </c>
      <c r="H210" s="16"/>
      <c r="I210" s="16">
        <f>102109+104308</f>
        <v>206417</v>
      </c>
      <c r="J210" s="16"/>
      <c r="K210" s="16">
        <v>0</v>
      </c>
      <c r="L210" s="16"/>
      <c r="M210" s="16">
        <f>1690+12703</f>
        <v>14393</v>
      </c>
      <c r="N210" s="16"/>
      <c r="O210" s="16">
        <f>12203</f>
        <v>12203</v>
      </c>
      <c r="P210" s="16"/>
      <c r="Q210" s="16">
        <v>0</v>
      </c>
      <c r="R210" s="16"/>
      <c r="S210" s="16">
        <f>43830+2524+1318</f>
        <v>47672</v>
      </c>
      <c r="T210" s="16"/>
      <c r="U210" s="16">
        <v>5810119</v>
      </c>
      <c r="V210" s="16"/>
      <c r="W210" s="16">
        <v>0</v>
      </c>
      <c r="X210" s="16"/>
      <c r="Y210" s="16">
        <v>1047643</v>
      </c>
      <c r="Z210" s="16"/>
      <c r="AA210" s="16">
        <v>0</v>
      </c>
      <c r="AB210" s="16"/>
      <c r="AC210" s="16">
        <v>10824</v>
      </c>
      <c r="AD210" s="16"/>
      <c r="AE210" s="16">
        <f t="shared" si="6"/>
        <v>7298845</v>
      </c>
    </row>
    <row r="211" spans="1:31" ht="12.75" customHeight="1">
      <c r="A211" s="1" t="s">
        <v>474</v>
      </c>
      <c r="B211" s="1"/>
      <c r="C211" s="1" t="s">
        <v>246</v>
      </c>
      <c r="E211" s="16">
        <v>149847</v>
      </c>
      <c r="F211" s="16"/>
      <c r="G211" s="16">
        <v>413717</v>
      </c>
      <c r="H211" s="16"/>
      <c r="I211" s="16">
        <v>408412</v>
      </c>
      <c r="J211" s="16"/>
      <c r="K211" s="16">
        <v>190523</v>
      </c>
      <c r="L211" s="16"/>
      <c r="M211" s="16">
        <v>112013</v>
      </c>
      <c r="N211" s="16"/>
      <c r="O211" s="16">
        <v>75534</v>
      </c>
      <c r="P211" s="16"/>
      <c r="Q211" s="16">
        <v>76445</v>
      </c>
      <c r="R211" s="16"/>
      <c r="S211" s="16">
        <v>8762</v>
      </c>
      <c r="T211" s="16"/>
      <c r="U211" s="16">
        <v>0</v>
      </c>
      <c r="V211" s="16"/>
      <c r="W211" s="16">
        <v>0</v>
      </c>
      <c r="X211" s="16"/>
      <c r="Y211" s="16">
        <v>0</v>
      </c>
      <c r="Z211" s="16"/>
      <c r="AA211" s="16">
        <v>0</v>
      </c>
      <c r="AB211" s="16"/>
      <c r="AC211" s="16">
        <v>0</v>
      </c>
      <c r="AD211" s="16"/>
      <c r="AE211" s="16">
        <f t="shared" si="6"/>
        <v>1435253</v>
      </c>
    </row>
    <row r="212" spans="1:31" ht="12.75" customHeight="1">
      <c r="A212" s="1" t="s">
        <v>216</v>
      </c>
      <c r="B212" s="1"/>
      <c r="C212" s="1" t="s">
        <v>217</v>
      </c>
      <c r="D212" s="16"/>
      <c r="E212" s="16">
        <f>1431557</f>
        <v>1431557</v>
      </c>
      <c r="F212" s="16"/>
      <c r="G212" s="16">
        <v>0</v>
      </c>
      <c r="H212" s="16"/>
      <c r="I212" s="16">
        <v>1133330</v>
      </c>
      <c r="J212" s="16"/>
      <c r="K212" s="16">
        <v>101746</v>
      </c>
      <c r="L212" s="16"/>
      <c r="M212" s="16">
        <f>283578+1050</f>
        <v>284628</v>
      </c>
      <c r="N212" s="16"/>
      <c r="O212" s="16">
        <v>111819</v>
      </c>
      <c r="P212" s="16"/>
      <c r="Q212" s="16">
        <f>52676-299</f>
        <v>52377</v>
      </c>
      <c r="R212" s="16"/>
      <c r="S212" s="16">
        <f>10097+37159</f>
        <v>47256</v>
      </c>
      <c r="T212" s="16"/>
      <c r="U212" s="16">
        <v>325600</v>
      </c>
      <c r="V212" s="16"/>
      <c r="W212" s="16">
        <v>0</v>
      </c>
      <c r="X212" s="16"/>
      <c r="Y212" s="16">
        <v>179799</v>
      </c>
      <c r="Z212" s="16"/>
      <c r="AA212" s="16">
        <v>14135</v>
      </c>
      <c r="AB212" s="16"/>
      <c r="AC212" s="16">
        <v>0</v>
      </c>
      <c r="AD212" s="16"/>
      <c r="AE212" s="16">
        <f t="shared" si="6"/>
        <v>3682247</v>
      </c>
    </row>
    <row r="213" spans="1:31" ht="12.75" customHeight="1">
      <c r="A213" s="1" t="s">
        <v>521</v>
      </c>
      <c r="C213" s="1" t="s">
        <v>78</v>
      </c>
      <c r="E213" s="16">
        <v>35070</v>
      </c>
      <c r="F213" s="16"/>
      <c r="G213" s="16">
        <v>0</v>
      </c>
      <c r="H213" s="16"/>
      <c r="I213" s="16">
        <v>428550</v>
      </c>
      <c r="J213" s="16"/>
      <c r="K213" s="16">
        <v>0</v>
      </c>
      <c r="L213" s="16"/>
      <c r="M213" s="16">
        <v>26600</v>
      </c>
      <c r="N213" s="16"/>
      <c r="O213" s="16">
        <v>1355</v>
      </c>
      <c r="P213" s="16"/>
      <c r="Q213" s="16">
        <v>1904</v>
      </c>
      <c r="R213" s="16"/>
      <c r="S213" s="16">
        <v>410</v>
      </c>
      <c r="T213" s="16"/>
      <c r="U213" s="16">
        <v>100000</v>
      </c>
      <c r="V213" s="16"/>
      <c r="W213" s="16">
        <v>0</v>
      </c>
      <c r="X213" s="16"/>
      <c r="Y213" s="16">
        <v>6303</v>
      </c>
      <c r="Z213" s="16"/>
      <c r="AA213" s="16">
        <v>0</v>
      </c>
      <c r="AB213" s="16"/>
      <c r="AC213" s="16">
        <v>0</v>
      </c>
      <c r="AD213" s="16"/>
      <c r="AE213" s="16">
        <f t="shared" si="6"/>
        <v>600192</v>
      </c>
    </row>
    <row r="214" spans="1:31" ht="12.75" customHeight="1">
      <c r="A214" s="1" t="s">
        <v>717</v>
      </c>
      <c r="C214" s="1" t="s">
        <v>142</v>
      </c>
      <c r="E214" s="16">
        <v>102556</v>
      </c>
      <c r="F214" s="16"/>
      <c r="G214" s="16">
        <v>390592</v>
      </c>
      <c r="H214" s="16"/>
      <c r="I214" s="16">
        <v>270925</v>
      </c>
      <c r="J214" s="16"/>
      <c r="K214" s="16">
        <v>0</v>
      </c>
      <c r="L214" s="16"/>
      <c r="M214" s="16">
        <v>3573</v>
      </c>
      <c r="N214" s="16"/>
      <c r="O214" s="16">
        <v>12985</v>
      </c>
      <c r="P214" s="16"/>
      <c r="Q214" s="16">
        <v>4815</v>
      </c>
      <c r="R214" s="16"/>
      <c r="S214" s="16">
        <v>35264</v>
      </c>
      <c r="T214" s="16"/>
      <c r="U214" s="16">
        <v>582691</v>
      </c>
      <c r="V214" s="16"/>
      <c r="W214" s="16">
        <v>9362</v>
      </c>
      <c r="X214" s="16"/>
      <c r="Y214" s="16">
        <v>8720</v>
      </c>
      <c r="Z214" s="16"/>
      <c r="AA214" s="16">
        <v>0</v>
      </c>
      <c r="AB214" s="16"/>
      <c r="AC214" s="16">
        <v>0</v>
      </c>
      <c r="AD214" s="16"/>
      <c r="AE214" s="16">
        <f t="shared" si="6"/>
        <v>1421483</v>
      </c>
    </row>
    <row r="215" spans="1:31" ht="12.75" customHeight="1">
      <c r="A215" s="1" t="s">
        <v>704</v>
      </c>
      <c r="C215" s="1" t="s">
        <v>110</v>
      </c>
      <c r="E215" s="16">
        <v>8378</v>
      </c>
      <c r="F215" s="16"/>
      <c r="G215" s="16">
        <v>0</v>
      </c>
      <c r="H215" s="16"/>
      <c r="I215" s="16">
        <v>45899</v>
      </c>
      <c r="J215" s="16"/>
      <c r="K215" s="16">
        <v>798</v>
      </c>
      <c r="L215" s="16"/>
      <c r="M215" s="16">
        <v>0</v>
      </c>
      <c r="N215" s="16"/>
      <c r="O215" s="16">
        <v>110</v>
      </c>
      <c r="P215" s="16"/>
      <c r="Q215" s="16">
        <v>3495</v>
      </c>
      <c r="R215" s="16"/>
      <c r="S215" s="16">
        <v>350</v>
      </c>
      <c r="T215" s="16"/>
      <c r="U215" s="16">
        <v>0</v>
      </c>
      <c r="V215" s="16"/>
      <c r="W215" s="16">
        <v>4720</v>
      </c>
      <c r="X215" s="16"/>
      <c r="Y215" s="16">
        <v>0</v>
      </c>
      <c r="Z215" s="16"/>
      <c r="AA215" s="16">
        <v>0</v>
      </c>
      <c r="AB215" s="16"/>
      <c r="AC215" s="16">
        <v>0</v>
      </c>
      <c r="AD215" s="16"/>
      <c r="AE215" s="16">
        <f t="shared" si="6"/>
        <v>63750</v>
      </c>
    </row>
    <row r="216" spans="1:31" ht="12.75" customHeight="1">
      <c r="A216" s="1" t="s">
        <v>705</v>
      </c>
      <c r="C216" s="1" t="s">
        <v>110</v>
      </c>
      <c r="E216" s="16">
        <v>58087</v>
      </c>
      <c r="F216" s="16"/>
      <c r="G216" s="16">
        <v>287604</v>
      </c>
      <c r="H216" s="16"/>
      <c r="I216" s="16">
        <v>118933</v>
      </c>
      <c r="J216" s="16"/>
      <c r="K216" s="16">
        <v>0</v>
      </c>
      <c r="L216" s="16"/>
      <c r="M216" s="16">
        <v>87713</v>
      </c>
      <c r="N216" s="16"/>
      <c r="O216" s="16">
        <v>11125</v>
      </c>
      <c r="P216" s="16"/>
      <c r="Q216" s="16">
        <v>4613</v>
      </c>
      <c r="R216" s="16"/>
      <c r="S216" s="16">
        <v>19230</v>
      </c>
      <c r="T216" s="16"/>
      <c r="U216" s="16">
        <v>0</v>
      </c>
      <c r="V216" s="16"/>
      <c r="W216" s="16">
        <v>0</v>
      </c>
      <c r="X216" s="16"/>
      <c r="Y216" s="16">
        <v>0</v>
      </c>
      <c r="Z216" s="16"/>
      <c r="AA216" s="16">
        <v>0</v>
      </c>
      <c r="AB216" s="16"/>
      <c r="AC216" s="16">
        <v>0</v>
      </c>
      <c r="AD216" s="16"/>
      <c r="AE216" s="16">
        <f t="shared" si="6"/>
        <v>587305</v>
      </c>
    </row>
    <row r="217" spans="1:31" ht="12.75" customHeight="1">
      <c r="A217" s="1" t="s">
        <v>218</v>
      </c>
      <c r="B217" s="1"/>
      <c r="C217" s="1" t="s">
        <v>73</v>
      </c>
      <c r="D217" s="16"/>
      <c r="E217" s="16">
        <f>1270297+118774+155100</f>
        <v>1544171</v>
      </c>
      <c r="F217" s="16"/>
      <c r="G217" s="16">
        <v>0</v>
      </c>
      <c r="H217" s="16"/>
      <c r="I217" s="16">
        <f>435390+113372+20396+29254</f>
        <v>598412</v>
      </c>
      <c r="J217" s="16"/>
      <c r="K217" s="16">
        <v>123</v>
      </c>
      <c r="L217" s="16"/>
      <c r="M217" s="16">
        <v>2215</v>
      </c>
      <c r="N217" s="16"/>
      <c r="O217" s="16">
        <f>64212+3880</f>
        <v>68092</v>
      </c>
      <c r="P217" s="16"/>
      <c r="Q217" s="16">
        <f>31914+136+1361</f>
        <v>33411</v>
      </c>
      <c r="R217" s="16"/>
      <c r="S217" s="16">
        <f>41514+80555+80243</f>
        <v>202312</v>
      </c>
      <c r="T217" s="16"/>
      <c r="U217" s="16">
        <v>0</v>
      </c>
      <c r="V217" s="16"/>
      <c r="W217" s="16">
        <v>54580</v>
      </c>
      <c r="X217" s="16"/>
      <c r="Y217" s="16">
        <v>280931</v>
      </c>
      <c r="Z217" s="16"/>
      <c r="AA217" s="16">
        <v>0</v>
      </c>
      <c r="AB217" s="16"/>
      <c r="AC217" s="16">
        <v>0</v>
      </c>
      <c r="AD217" s="16"/>
      <c r="AE217" s="16">
        <f t="shared" si="6"/>
        <v>2784247</v>
      </c>
    </row>
    <row r="218" spans="1:31" ht="12.75" customHeight="1">
      <c r="A218" s="1" t="s">
        <v>219</v>
      </c>
      <c r="B218" s="1"/>
      <c r="C218" s="1" t="s">
        <v>179</v>
      </c>
      <c r="D218" s="16"/>
      <c r="E218" s="16">
        <v>14305</v>
      </c>
      <c r="F218" s="16"/>
      <c r="G218" s="16">
        <v>0</v>
      </c>
      <c r="H218" s="16"/>
      <c r="I218" s="16">
        <v>7759</v>
      </c>
      <c r="J218" s="16"/>
      <c r="K218" s="16">
        <v>0</v>
      </c>
      <c r="L218" s="16"/>
      <c r="M218" s="16">
        <v>0</v>
      </c>
      <c r="N218" s="16"/>
      <c r="O218" s="16">
        <v>0</v>
      </c>
      <c r="P218" s="16"/>
      <c r="Q218" s="16">
        <v>441</v>
      </c>
      <c r="R218" s="16"/>
      <c r="S218" s="16">
        <v>54599</v>
      </c>
      <c r="T218" s="16"/>
      <c r="U218" s="16">
        <v>0</v>
      </c>
      <c r="V218" s="16"/>
      <c r="W218" s="16">
        <v>0</v>
      </c>
      <c r="X218" s="16"/>
      <c r="Y218" s="16">
        <v>0</v>
      </c>
      <c r="Z218" s="16"/>
      <c r="AA218" s="16">
        <v>0</v>
      </c>
      <c r="AB218" s="16"/>
      <c r="AC218" s="16">
        <v>0</v>
      </c>
      <c r="AD218" s="16"/>
      <c r="AE218" s="16">
        <f t="shared" si="6"/>
        <v>77104</v>
      </c>
    </row>
    <row r="219" spans="1:31" ht="12.75" customHeight="1">
      <c r="A219" s="1" t="s">
        <v>220</v>
      </c>
      <c r="B219" s="1"/>
      <c r="C219" s="1" t="s">
        <v>221</v>
      </c>
      <c r="D219" s="16"/>
      <c r="E219" s="16">
        <v>2994</v>
      </c>
      <c r="F219" s="16"/>
      <c r="G219" s="16">
        <v>0</v>
      </c>
      <c r="H219" s="16"/>
      <c r="I219" s="16">
        <v>43000</v>
      </c>
      <c r="J219" s="16"/>
      <c r="K219" s="16">
        <v>0</v>
      </c>
      <c r="L219" s="16"/>
      <c r="M219" s="16">
        <v>3114</v>
      </c>
      <c r="N219" s="16"/>
      <c r="O219" s="16">
        <v>2142</v>
      </c>
      <c r="P219" s="16"/>
      <c r="Q219" s="16">
        <f>1930+357</f>
        <v>2287</v>
      </c>
      <c r="R219" s="16"/>
      <c r="S219" s="16">
        <v>2725</v>
      </c>
      <c r="T219" s="16"/>
      <c r="U219" s="16">
        <v>0</v>
      </c>
      <c r="V219" s="16"/>
      <c r="W219" s="16">
        <v>0</v>
      </c>
      <c r="X219" s="16"/>
      <c r="Y219" s="16">
        <v>0</v>
      </c>
      <c r="Z219" s="16"/>
      <c r="AA219" s="16">
        <v>0</v>
      </c>
      <c r="AB219" s="16"/>
      <c r="AC219" s="16">
        <v>0</v>
      </c>
      <c r="AD219" s="16"/>
      <c r="AE219" s="16">
        <f t="shared" si="6"/>
        <v>56262</v>
      </c>
    </row>
    <row r="220" spans="1:31" ht="12.75" customHeight="1">
      <c r="A220" s="1" t="s">
        <v>516</v>
      </c>
      <c r="C220" s="1" t="s">
        <v>112</v>
      </c>
      <c r="E220" s="16">
        <v>102491</v>
      </c>
      <c r="F220" s="16"/>
      <c r="G220" s="16">
        <v>1122462</v>
      </c>
      <c r="H220" s="16"/>
      <c r="I220" s="16">
        <v>182933</v>
      </c>
      <c r="J220" s="16"/>
      <c r="K220" s="16">
        <v>40277</v>
      </c>
      <c r="L220" s="16"/>
      <c r="M220" s="16">
        <v>51468</v>
      </c>
      <c r="N220" s="16"/>
      <c r="O220" s="16">
        <v>316363</v>
      </c>
      <c r="P220" s="16"/>
      <c r="Q220" s="16">
        <v>29947</v>
      </c>
      <c r="R220" s="16"/>
      <c r="S220" s="16">
        <v>119375</v>
      </c>
      <c r="T220" s="16"/>
      <c r="U220" s="16">
        <v>2103612</v>
      </c>
      <c r="V220" s="16"/>
      <c r="W220" s="16">
        <v>0</v>
      </c>
      <c r="X220" s="16"/>
      <c r="Y220" s="16">
        <v>255000</v>
      </c>
      <c r="Z220" s="16"/>
      <c r="AA220" s="16">
        <v>0</v>
      </c>
      <c r="AB220" s="16"/>
      <c r="AC220" s="16">
        <v>0</v>
      </c>
      <c r="AD220" s="16"/>
      <c r="AE220" s="16">
        <f t="shared" si="6"/>
        <v>4323928</v>
      </c>
    </row>
    <row r="221" spans="1:31" ht="12.75" customHeight="1">
      <c r="A221" s="1" t="s">
        <v>642</v>
      </c>
      <c r="C221" s="1" t="s">
        <v>274</v>
      </c>
      <c r="E221" s="16">
        <v>56052</v>
      </c>
      <c r="F221" s="16"/>
      <c r="G221" s="16">
        <v>0</v>
      </c>
      <c r="H221" s="16"/>
      <c r="I221" s="16">
        <v>66993</v>
      </c>
      <c r="J221" s="16"/>
      <c r="K221" s="16">
        <v>0</v>
      </c>
      <c r="L221" s="16"/>
      <c r="M221" s="16">
        <v>723</v>
      </c>
      <c r="N221" s="16"/>
      <c r="O221" s="16">
        <v>1571</v>
      </c>
      <c r="P221" s="16"/>
      <c r="Q221" s="16">
        <v>540</v>
      </c>
      <c r="R221" s="16"/>
      <c r="S221" s="16">
        <v>0</v>
      </c>
      <c r="T221" s="16"/>
      <c r="U221" s="16">
        <v>0</v>
      </c>
      <c r="V221" s="16"/>
      <c r="W221" s="16">
        <v>0</v>
      </c>
      <c r="X221" s="16"/>
      <c r="Y221" s="16">
        <v>0</v>
      </c>
      <c r="Z221" s="16"/>
      <c r="AA221" s="16">
        <v>0</v>
      </c>
      <c r="AB221" s="16"/>
      <c r="AC221" s="16">
        <v>0</v>
      </c>
      <c r="AD221" s="16"/>
      <c r="AE221" s="16">
        <f t="shared" si="6"/>
        <v>125879</v>
      </c>
    </row>
    <row r="222" spans="1:31" ht="12.75" customHeight="1">
      <c r="A222" s="1" t="s">
        <v>459</v>
      </c>
      <c r="B222" s="1"/>
      <c r="C222" s="1" t="s">
        <v>71</v>
      </c>
      <c r="E222" s="16">
        <v>135067</v>
      </c>
      <c r="F222" s="16"/>
      <c r="G222" s="16">
        <v>0</v>
      </c>
      <c r="H222" s="16"/>
      <c r="I222" s="16">
        <v>216350</v>
      </c>
      <c r="J222" s="16"/>
      <c r="K222" s="16">
        <v>0</v>
      </c>
      <c r="L222" s="16"/>
      <c r="M222" s="16">
        <v>79210</v>
      </c>
      <c r="N222" s="16"/>
      <c r="O222" s="16">
        <v>27557</v>
      </c>
      <c r="P222" s="16"/>
      <c r="Q222" s="16">
        <v>3217</v>
      </c>
      <c r="R222" s="16"/>
      <c r="S222" s="16">
        <v>86455</v>
      </c>
      <c r="T222" s="16"/>
      <c r="U222" s="16">
        <v>0</v>
      </c>
      <c r="V222" s="16"/>
      <c r="W222" s="16">
        <v>0</v>
      </c>
      <c r="X222" s="16"/>
      <c r="Y222" s="16">
        <v>0</v>
      </c>
      <c r="Z222" s="16"/>
      <c r="AA222" s="16">
        <v>0</v>
      </c>
      <c r="AB222" s="16"/>
      <c r="AC222" s="16">
        <v>9284</v>
      </c>
      <c r="AD222" s="16"/>
      <c r="AE222" s="16">
        <f t="shared" si="6"/>
        <v>557140</v>
      </c>
    </row>
    <row r="223" spans="1:31" ht="12.75" customHeight="1">
      <c r="A223" s="1" t="s">
        <v>222</v>
      </c>
      <c r="B223" s="1"/>
      <c r="C223" s="1" t="s">
        <v>96</v>
      </c>
      <c r="D223" s="16"/>
      <c r="E223" s="16">
        <f>80243+20353</f>
        <v>100596</v>
      </c>
      <c r="F223" s="16"/>
      <c r="G223" s="16">
        <v>0</v>
      </c>
      <c r="H223" s="16"/>
      <c r="I223" s="16">
        <f>139644+72897</f>
        <v>212541</v>
      </c>
      <c r="J223" s="16"/>
      <c r="K223" s="16">
        <v>154</v>
      </c>
      <c r="L223" s="16"/>
      <c r="M223" s="16">
        <f>35068+21935</f>
        <v>57003</v>
      </c>
      <c r="N223" s="16"/>
      <c r="O223" s="16">
        <v>2446</v>
      </c>
      <c r="P223" s="16"/>
      <c r="Q223" s="16">
        <f>2850+1807</f>
        <v>4657</v>
      </c>
      <c r="R223" s="16"/>
      <c r="S223" s="16">
        <f>19607+3107+173352</f>
        <v>196066</v>
      </c>
      <c r="T223" s="16"/>
      <c r="U223" s="16">
        <v>0</v>
      </c>
      <c r="V223" s="16"/>
      <c r="W223" s="16">
        <v>0</v>
      </c>
      <c r="X223" s="16"/>
      <c r="Y223" s="16">
        <v>234999</v>
      </c>
      <c r="Z223" s="16"/>
      <c r="AA223" s="16">
        <v>0</v>
      </c>
      <c r="AB223" s="16"/>
      <c r="AC223" s="16">
        <v>449</v>
      </c>
      <c r="AD223" s="16"/>
      <c r="AE223" s="16">
        <f t="shared" si="6"/>
        <v>808911</v>
      </c>
    </row>
    <row r="224" spans="1:31" ht="12.75" customHeight="1">
      <c r="A224" s="1" t="s">
        <v>223</v>
      </c>
      <c r="B224" s="1"/>
      <c r="C224" s="1" t="s">
        <v>73</v>
      </c>
      <c r="D224" s="16"/>
      <c r="E224" s="16">
        <v>1659101</v>
      </c>
      <c r="F224" s="16"/>
      <c r="G224" s="16">
        <v>0</v>
      </c>
      <c r="H224" s="16"/>
      <c r="I224" s="16">
        <v>321343</v>
      </c>
      <c r="J224" s="16"/>
      <c r="K224" s="16">
        <v>0</v>
      </c>
      <c r="L224" s="16"/>
      <c r="M224" s="16">
        <v>432110</v>
      </c>
      <c r="N224" s="16"/>
      <c r="O224" s="16">
        <v>51521</v>
      </c>
      <c r="P224" s="16"/>
      <c r="Q224" s="16">
        <v>1239</v>
      </c>
      <c r="R224" s="16"/>
      <c r="S224" s="16">
        <v>32680</v>
      </c>
      <c r="T224" s="16"/>
      <c r="U224" s="16">
        <v>0</v>
      </c>
      <c r="V224" s="16"/>
      <c r="W224" s="16">
        <v>700</v>
      </c>
      <c r="X224" s="16"/>
      <c r="Y224" s="16">
        <v>594840</v>
      </c>
      <c r="Z224" s="16"/>
      <c r="AA224" s="16">
        <v>0</v>
      </c>
      <c r="AB224" s="16"/>
      <c r="AC224" s="16">
        <v>0</v>
      </c>
      <c r="AD224" s="16"/>
      <c r="AE224" s="16">
        <f t="shared" si="6"/>
        <v>3093534</v>
      </c>
    </row>
    <row r="225" spans="1:31" ht="12.75" customHeight="1">
      <c r="A225" s="1" t="s">
        <v>226</v>
      </c>
      <c r="B225" s="1"/>
      <c r="C225" s="1" t="s">
        <v>78</v>
      </c>
      <c r="D225" s="16"/>
      <c r="E225" s="16">
        <v>17914</v>
      </c>
      <c r="F225" s="16"/>
      <c r="G225" s="16">
        <v>0</v>
      </c>
      <c r="H225" s="16"/>
      <c r="I225" s="16">
        <v>15561</v>
      </c>
      <c r="J225" s="16"/>
      <c r="K225" s="16">
        <v>0</v>
      </c>
      <c r="L225" s="16"/>
      <c r="M225" s="16">
        <v>0</v>
      </c>
      <c r="N225" s="16"/>
      <c r="O225" s="16">
        <v>0</v>
      </c>
      <c r="P225" s="16"/>
      <c r="Q225" s="16">
        <v>0</v>
      </c>
      <c r="R225" s="16"/>
      <c r="S225" s="16">
        <v>542</v>
      </c>
      <c r="T225" s="16"/>
      <c r="U225" s="16">
        <v>0</v>
      </c>
      <c r="V225" s="16"/>
      <c r="W225" s="16">
        <v>0</v>
      </c>
      <c r="X225" s="16"/>
      <c r="Y225" s="16">
        <v>0</v>
      </c>
      <c r="Z225" s="16"/>
      <c r="AA225" s="16">
        <v>0</v>
      </c>
      <c r="AB225" s="16"/>
      <c r="AC225" s="16">
        <v>0</v>
      </c>
      <c r="AD225" s="16"/>
      <c r="AE225" s="16">
        <f t="shared" si="6"/>
        <v>34017</v>
      </c>
    </row>
    <row r="226" spans="1:31" ht="12.75" customHeight="1">
      <c r="A226" s="1" t="s">
        <v>227</v>
      </c>
      <c r="B226" s="1"/>
      <c r="C226" s="1" t="s">
        <v>228</v>
      </c>
      <c r="D226" s="16"/>
      <c r="E226" s="16">
        <v>242622</v>
      </c>
      <c r="F226" s="16"/>
      <c r="G226" s="16">
        <v>1242030</v>
      </c>
      <c r="H226" s="16"/>
      <c r="I226" s="16">
        <v>466109</v>
      </c>
      <c r="J226" s="16"/>
      <c r="K226" s="16">
        <v>0</v>
      </c>
      <c r="L226" s="16"/>
      <c r="M226" s="16">
        <v>107279</v>
      </c>
      <c r="N226" s="16"/>
      <c r="O226" s="16">
        <v>43381</v>
      </c>
      <c r="P226" s="16"/>
      <c r="Q226" s="16">
        <v>56029</v>
      </c>
      <c r="R226" s="16"/>
      <c r="S226" s="16">
        <v>130920</v>
      </c>
      <c r="T226" s="16"/>
      <c r="U226" s="16">
        <v>0</v>
      </c>
      <c r="V226" s="16"/>
      <c r="W226" s="16">
        <v>0</v>
      </c>
      <c r="X226" s="16"/>
      <c r="Y226" s="16">
        <v>123063</v>
      </c>
      <c r="Z226" s="16"/>
      <c r="AA226" s="16">
        <v>949</v>
      </c>
      <c r="AB226" s="16"/>
      <c r="AC226" s="16">
        <v>3327</v>
      </c>
      <c r="AD226" s="16"/>
      <c r="AE226" s="16">
        <f t="shared" si="6"/>
        <v>2415709</v>
      </c>
    </row>
    <row r="227" spans="1:31" ht="12.75" customHeight="1">
      <c r="A227" s="1" t="s">
        <v>770</v>
      </c>
      <c r="C227" s="1" t="s">
        <v>94</v>
      </c>
      <c r="E227" s="16">
        <v>53949</v>
      </c>
      <c r="F227" s="16"/>
      <c r="G227" s="16">
        <v>0</v>
      </c>
      <c r="H227" s="16"/>
      <c r="I227" s="16">
        <v>97197</v>
      </c>
      <c r="J227" s="16"/>
      <c r="K227" s="16">
        <v>79265</v>
      </c>
      <c r="L227" s="16"/>
      <c r="M227" s="16">
        <v>9520</v>
      </c>
      <c r="N227" s="16"/>
      <c r="O227" s="16">
        <v>8633</v>
      </c>
      <c r="P227" s="16"/>
      <c r="Q227" s="16">
        <v>2497</v>
      </c>
      <c r="R227" s="16"/>
      <c r="S227" s="16">
        <v>40504</v>
      </c>
      <c r="T227" s="16"/>
      <c r="U227" s="16">
        <v>0</v>
      </c>
      <c r="V227" s="16"/>
      <c r="W227" s="16">
        <v>0</v>
      </c>
      <c r="X227" s="16"/>
      <c r="Y227" s="16">
        <v>223478</v>
      </c>
      <c r="Z227" s="16"/>
      <c r="AA227" s="16">
        <v>0</v>
      </c>
      <c r="AB227" s="16"/>
      <c r="AC227" s="16">
        <v>0</v>
      </c>
      <c r="AD227" s="16"/>
      <c r="AE227" s="16">
        <f t="shared" si="6"/>
        <v>515043</v>
      </c>
    </row>
    <row r="228" spans="1:31" ht="12.75" customHeight="1">
      <c r="A228" s="1" t="s">
        <v>229</v>
      </c>
      <c r="B228" s="1"/>
      <c r="C228" s="1" t="s">
        <v>197</v>
      </c>
      <c r="D228" s="16"/>
      <c r="E228" s="16">
        <v>78700</v>
      </c>
      <c r="F228" s="16"/>
      <c r="G228" s="16">
        <v>347043</v>
      </c>
      <c r="H228" s="16"/>
      <c r="I228" s="16">
        <v>503707</v>
      </c>
      <c r="J228" s="16"/>
      <c r="K228" s="16">
        <v>0</v>
      </c>
      <c r="L228" s="16"/>
      <c r="M228" s="16">
        <v>115</v>
      </c>
      <c r="N228" s="16"/>
      <c r="O228" s="16">
        <v>38635</v>
      </c>
      <c r="P228" s="16"/>
      <c r="Q228" s="16">
        <v>1809</v>
      </c>
      <c r="R228" s="16"/>
      <c r="S228" s="16">
        <v>15482</v>
      </c>
      <c r="T228" s="16"/>
      <c r="U228" s="16">
        <v>0</v>
      </c>
      <c r="V228" s="16"/>
      <c r="W228" s="16">
        <v>0</v>
      </c>
      <c r="X228" s="16"/>
      <c r="Y228" s="16">
        <v>9225</v>
      </c>
      <c r="Z228" s="16"/>
      <c r="AA228" s="16">
        <v>0</v>
      </c>
      <c r="AB228" s="16"/>
      <c r="AC228" s="16">
        <v>0</v>
      </c>
      <c r="AD228" s="16"/>
      <c r="AE228" s="16">
        <f t="shared" si="6"/>
        <v>994716</v>
      </c>
    </row>
    <row r="229" spans="1:31" ht="12.75" customHeight="1">
      <c r="A229" s="1" t="s">
        <v>230</v>
      </c>
      <c r="B229" s="1"/>
      <c r="C229" s="1" t="s">
        <v>231</v>
      </c>
      <c r="D229" s="16"/>
      <c r="E229" s="16">
        <v>2626766</v>
      </c>
      <c r="F229" s="16"/>
      <c r="G229" s="16">
        <v>0</v>
      </c>
      <c r="H229" s="16"/>
      <c r="I229" s="16">
        <v>410220</v>
      </c>
      <c r="J229" s="16"/>
      <c r="K229" s="16">
        <v>23167</v>
      </c>
      <c r="L229" s="16"/>
      <c r="M229" s="16">
        <v>10000</v>
      </c>
      <c r="N229" s="16"/>
      <c r="O229" s="16">
        <v>138976</v>
      </c>
      <c r="P229" s="16"/>
      <c r="Q229" s="16">
        <v>34390</v>
      </c>
      <c r="R229" s="16"/>
      <c r="S229" s="16">
        <v>44405</v>
      </c>
      <c r="T229" s="16"/>
      <c r="U229" s="16">
        <v>4000</v>
      </c>
      <c r="V229" s="16"/>
      <c r="W229" s="16">
        <v>0</v>
      </c>
      <c r="X229" s="16"/>
      <c r="Y229" s="16">
        <v>196125</v>
      </c>
      <c r="Z229" s="16"/>
      <c r="AA229" s="16">
        <v>0</v>
      </c>
      <c r="AB229" s="16"/>
      <c r="AC229" s="16">
        <v>0</v>
      </c>
      <c r="AD229" s="16"/>
      <c r="AE229" s="16">
        <f t="shared" si="6"/>
        <v>3488049</v>
      </c>
    </row>
    <row r="230" spans="1:31" ht="12.75" customHeight="1">
      <c r="A230" s="1" t="s">
        <v>232</v>
      </c>
      <c r="B230" s="1"/>
      <c r="C230" s="1" t="s">
        <v>231</v>
      </c>
      <c r="D230" s="16"/>
      <c r="E230" s="16">
        <v>2592</v>
      </c>
      <c r="F230" s="16"/>
      <c r="G230" s="16">
        <v>0</v>
      </c>
      <c r="H230" s="16"/>
      <c r="I230" s="16">
        <f>23262+8692</f>
        <v>31954</v>
      </c>
      <c r="J230" s="16"/>
      <c r="K230" s="16">
        <v>0</v>
      </c>
      <c r="L230" s="16"/>
      <c r="M230" s="16">
        <v>0</v>
      </c>
      <c r="N230" s="16"/>
      <c r="O230" s="16">
        <v>0</v>
      </c>
      <c r="P230" s="16"/>
      <c r="Q230" s="16">
        <v>138</v>
      </c>
      <c r="R230" s="16"/>
      <c r="S230" s="16">
        <v>150</v>
      </c>
      <c r="T230" s="16"/>
      <c r="U230" s="16">
        <v>0</v>
      </c>
      <c r="V230" s="16"/>
      <c r="W230" s="16">
        <v>0</v>
      </c>
      <c r="X230" s="16"/>
      <c r="Y230" s="16">
        <v>0</v>
      </c>
      <c r="Z230" s="16"/>
      <c r="AA230" s="16">
        <v>0</v>
      </c>
      <c r="AB230" s="16"/>
      <c r="AC230" s="16">
        <v>0</v>
      </c>
      <c r="AD230" s="16"/>
      <c r="AE230" s="16">
        <f t="shared" si="6"/>
        <v>34834</v>
      </c>
    </row>
    <row r="231" spans="1:31" ht="12.75" customHeight="1">
      <c r="A231" s="1" t="s">
        <v>698</v>
      </c>
      <c r="C231" s="1" t="s">
        <v>225</v>
      </c>
      <c r="E231" s="16">
        <v>70619</v>
      </c>
      <c r="F231" s="16"/>
      <c r="G231" s="16">
        <v>0</v>
      </c>
      <c r="H231" s="16"/>
      <c r="I231" s="16">
        <v>86979</v>
      </c>
      <c r="J231" s="16"/>
      <c r="K231" s="16">
        <v>0</v>
      </c>
      <c r="L231" s="16"/>
      <c r="M231" s="16">
        <v>149389</v>
      </c>
      <c r="N231" s="16"/>
      <c r="O231" s="16">
        <v>3879</v>
      </c>
      <c r="P231" s="16"/>
      <c r="Q231" s="16">
        <v>1378</v>
      </c>
      <c r="R231" s="16"/>
      <c r="S231" s="16">
        <v>54827</v>
      </c>
      <c r="T231" s="16"/>
      <c r="U231" s="16">
        <v>0</v>
      </c>
      <c r="V231" s="16"/>
      <c r="W231" s="16">
        <v>0</v>
      </c>
      <c r="X231" s="16"/>
      <c r="Y231" s="16">
        <v>0</v>
      </c>
      <c r="Z231" s="16"/>
      <c r="AA231" s="16">
        <v>10000</v>
      </c>
      <c r="AB231" s="16"/>
      <c r="AC231" s="16">
        <v>10000</v>
      </c>
      <c r="AD231" s="16"/>
      <c r="AE231" s="16">
        <f t="shared" si="6"/>
        <v>387071</v>
      </c>
    </row>
    <row r="232" spans="1:31" ht="12.75" customHeight="1">
      <c r="A232" s="1" t="s">
        <v>233</v>
      </c>
      <c r="B232" s="1"/>
      <c r="C232" s="1" t="s">
        <v>80</v>
      </c>
      <c r="D232" s="16"/>
      <c r="E232" s="16">
        <v>2146</v>
      </c>
      <c r="F232" s="16"/>
      <c r="G232" s="16">
        <v>0</v>
      </c>
      <c r="H232" s="16"/>
      <c r="I232" s="16">
        <v>9051</v>
      </c>
      <c r="J232" s="16"/>
      <c r="K232" s="16">
        <v>0</v>
      </c>
      <c r="L232" s="16"/>
      <c r="M232" s="16">
        <v>0</v>
      </c>
      <c r="N232" s="16"/>
      <c r="O232" s="16">
        <v>0</v>
      </c>
      <c r="P232" s="16"/>
      <c r="Q232" s="16">
        <v>54</v>
      </c>
      <c r="R232" s="16"/>
      <c r="S232" s="16">
        <v>20</v>
      </c>
      <c r="T232" s="16"/>
      <c r="U232" s="16">
        <v>0</v>
      </c>
      <c r="V232" s="16"/>
      <c r="W232" s="16">
        <v>0</v>
      </c>
      <c r="X232" s="16"/>
      <c r="Y232" s="16">
        <v>0</v>
      </c>
      <c r="Z232" s="16"/>
      <c r="AA232" s="16">
        <v>0</v>
      </c>
      <c r="AB232" s="16"/>
      <c r="AC232" s="16">
        <v>0</v>
      </c>
      <c r="AD232" s="16"/>
      <c r="AE232" s="16">
        <f t="shared" si="6"/>
        <v>11271</v>
      </c>
    </row>
    <row r="233" spans="1:31" ht="12.75" customHeight="1">
      <c r="A233" s="1" t="s">
        <v>636</v>
      </c>
      <c r="C233" s="1" t="s">
        <v>268</v>
      </c>
      <c r="E233" s="16">
        <v>31990</v>
      </c>
      <c r="F233" s="16"/>
      <c r="G233" s="16">
        <v>0</v>
      </c>
      <c r="H233" s="16"/>
      <c r="I233" s="16">
        <v>40700</v>
      </c>
      <c r="J233" s="16"/>
      <c r="K233" s="16">
        <v>0</v>
      </c>
      <c r="L233" s="16"/>
      <c r="M233" s="16">
        <v>0</v>
      </c>
      <c r="N233" s="16"/>
      <c r="O233" s="16">
        <v>825</v>
      </c>
      <c r="P233" s="16"/>
      <c r="Q233" s="16">
        <v>694</v>
      </c>
      <c r="R233" s="16"/>
      <c r="S233" s="16">
        <v>2388</v>
      </c>
      <c r="T233" s="16"/>
      <c r="U233" s="16">
        <v>0</v>
      </c>
      <c r="V233" s="16"/>
      <c r="W233" s="16">
        <v>0</v>
      </c>
      <c r="X233" s="16"/>
      <c r="Y233" s="16">
        <v>0</v>
      </c>
      <c r="Z233" s="16"/>
      <c r="AA233" s="16">
        <v>0</v>
      </c>
      <c r="AB233" s="16"/>
      <c r="AC233" s="16">
        <v>0</v>
      </c>
      <c r="AD233" s="16"/>
      <c r="AE233" s="16">
        <f t="shared" si="6"/>
        <v>76597</v>
      </c>
    </row>
    <row r="234" spans="1:31" ht="12.75" customHeight="1">
      <c r="A234" s="1" t="s">
        <v>723</v>
      </c>
      <c r="C234" s="1" t="s">
        <v>118</v>
      </c>
      <c r="E234" s="16">
        <v>84348</v>
      </c>
      <c r="F234" s="16"/>
      <c r="G234" s="16">
        <v>231173</v>
      </c>
      <c r="H234" s="16"/>
      <c r="I234" s="16">
        <v>260669</v>
      </c>
      <c r="J234" s="16"/>
      <c r="K234" s="16">
        <v>0</v>
      </c>
      <c r="L234" s="16"/>
      <c r="M234" s="16">
        <v>3565</v>
      </c>
      <c r="N234" s="16"/>
      <c r="O234" s="16">
        <v>986</v>
      </c>
      <c r="P234" s="16"/>
      <c r="Q234" s="16">
        <v>2807</v>
      </c>
      <c r="R234" s="16"/>
      <c r="S234" s="16">
        <v>5240</v>
      </c>
      <c r="T234" s="16"/>
      <c r="U234" s="16">
        <v>0</v>
      </c>
      <c r="V234" s="16"/>
      <c r="W234" s="16">
        <v>0</v>
      </c>
      <c r="X234" s="16"/>
      <c r="Y234" s="16">
        <v>80000</v>
      </c>
      <c r="Z234" s="16"/>
      <c r="AA234" s="16">
        <v>0</v>
      </c>
      <c r="AB234" s="16"/>
      <c r="AC234" s="16">
        <v>0</v>
      </c>
      <c r="AD234" s="16"/>
      <c r="AE234" s="16">
        <f t="shared" si="6"/>
        <v>668788</v>
      </c>
    </row>
    <row r="235" spans="1:31" ht="12.75" customHeight="1">
      <c r="A235" s="1" t="s">
        <v>567</v>
      </c>
      <c r="C235" s="1" t="s">
        <v>73</v>
      </c>
      <c r="E235" s="16">
        <v>963906</v>
      </c>
      <c r="F235" s="16"/>
      <c r="G235" s="16">
        <v>697922</v>
      </c>
      <c r="H235" s="16"/>
      <c r="I235" s="16">
        <v>527314</v>
      </c>
      <c r="J235" s="16"/>
      <c r="K235" s="16">
        <v>25966</v>
      </c>
      <c r="L235" s="16"/>
      <c r="M235" s="16">
        <v>294815</v>
      </c>
      <c r="N235" s="16"/>
      <c r="O235" s="16">
        <v>100597</v>
      </c>
      <c r="P235" s="16"/>
      <c r="Q235" s="16">
        <v>14805</v>
      </c>
      <c r="R235" s="16"/>
      <c r="S235" s="16">
        <v>220120</v>
      </c>
      <c r="T235" s="16"/>
      <c r="U235" s="16">
        <v>1900000</v>
      </c>
      <c r="V235" s="16"/>
      <c r="W235" s="16">
        <v>585987</v>
      </c>
      <c r="X235" s="16"/>
      <c r="Y235" s="16">
        <v>3500</v>
      </c>
      <c r="Z235" s="16"/>
      <c r="AA235" s="16">
        <v>0</v>
      </c>
      <c r="AB235" s="16"/>
      <c r="AC235" s="16">
        <v>0</v>
      </c>
      <c r="AD235" s="16"/>
      <c r="AE235" s="16">
        <f aca="true" t="shared" si="7" ref="AE235:AE266">SUM(E235:AC235)</f>
        <v>5334932</v>
      </c>
    </row>
    <row r="236" spans="1:31" ht="12.75" customHeight="1">
      <c r="A236" s="1" t="s">
        <v>593</v>
      </c>
      <c r="C236" s="1" t="s">
        <v>303</v>
      </c>
      <c r="E236" s="16">
        <v>90258</v>
      </c>
      <c r="F236" s="16"/>
      <c r="G236" s="16">
        <v>177940</v>
      </c>
      <c r="H236" s="16"/>
      <c r="I236" s="16">
        <v>356953</v>
      </c>
      <c r="J236" s="16"/>
      <c r="K236" s="16">
        <v>0</v>
      </c>
      <c r="L236" s="16"/>
      <c r="M236" s="16">
        <v>81090</v>
      </c>
      <c r="N236" s="16"/>
      <c r="O236" s="16">
        <v>26228</v>
      </c>
      <c r="P236" s="16"/>
      <c r="Q236" s="16">
        <v>30918</v>
      </c>
      <c r="R236" s="16"/>
      <c r="S236" s="16">
        <v>84756</v>
      </c>
      <c r="T236" s="16"/>
      <c r="U236" s="16">
        <v>0</v>
      </c>
      <c r="V236" s="16"/>
      <c r="W236" s="16">
        <v>0</v>
      </c>
      <c r="X236" s="16"/>
      <c r="Y236" s="16">
        <v>164992</v>
      </c>
      <c r="Z236" s="16"/>
      <c r="AA236" s="16">
        <v>0</v>
      </c>
      <c r="AB236" s="16"/>
      <c r="AC236" s="16">
        <v>0</v>
      </c>
      <c r="AD236" s="16"/>
      <c r="AE236" s="16">
        <f t="shared" si="7"/>
        <v>1013135</v>
      </c>
    </row>
    <row r="237" spans="1:31" ht="12.75" customHeight="1">
      <c r="A237" s="1" t="s">
        <v>234</v>
      </c>
      <c r="B237" s="1"/>
      <c r="C237" s="1" t="s">
        <v>149</v>
      </c>
      <c r="D237" s="16"/>
      <c r="E237" s="16">
        <f>243855</f>
        <v>243855</v>
      </c>
      <c r="F237" s="16"/>
      <c r="G237" s="16">
        <v>5243879</v>
      </c>
      <c r="H237" s="16"/>
      <c r="I237" s="16">
        <v>1468655</v>
      </c>
      <c r="J237" s="16"/>
      <c r="K237" s="16">
        <v>0</v>
      </c>
      <c r="L237" s="16"/>
      <c r="M237" s="16">
        <v>1001870</v>
      </c>
      <c r="N237" s="16"/>
      <c r="O237" s="16">
        <f>358757+55734</f>
        <v>414491</v>
      </c>
      <c r="P237" s="16"/>
      <c r="Q237" s="16">
        <v>836424</v>
      </c>
      <c r="R237" s="16"/>
      <c r="S237" s="16">
        <f>7531+144885</f>
        <v>152416</v>
      </c>
      <c r="T237" s="16"/>
      <c r="U237" s="16">
        <v>0</v>
      </c>
      <c r="V237" s="16"/>
      <c r="W237" s="16">
        <v>176439</v>
      </c>
      <c r="X237" s="16"/>
      <c r="Y237" s="16">
        <v>0</v>
      </c>
      <c r="Z237" s="16"/>
      <c r="AA237" s="16">
        <v>0</v>
      </c>
      <c r="AB237" s="16"/>
      <c r="AC237" s="16">
        <v>0</v>
      </c>
      <c r="AD237" s="16"/>
      <c r="AE237" s="16">
        <f t="shared" si="7"/>
        <v>9538029</v>
      </c>
    </row>
    <row r="238" spans="1:31" ht="12.75" customHeight="1">
      <c r="A238" s="1" t="s">
        <v>235</v>
      </c>
      <c r="B238" s="1"/>
      <c r="C238" s="1" t="s">
        <v>236</v>
      </c>
      <c r="E238" s="16">
        <v>22541</v>
      </c>
      <c r="F238" s="16"/>
      <c r="G238" s="16">
        <v>0</v>
      </c>
      <c r="H238" s="16"/>
      <c r="I238" s="16">
        <v>78170</v>
      </c>
      <c r="J238" s="16"/>
      <c r="K238" s="16">
        <v>0</v>
      </c>
      <c r="L238" s="16"/>
      <c r="M238" s="16">
        <v>5650</v>
      </c>
      <c r="N238" s="16"/>
      <c r="O238" s="16">
        <v>350</v>
      </c>
      <c r="P238" s="16"/>
      <c r="Q238" s="16">
        <v>338</v>
      </c>
      <c r="R238" s="16"/>
      <c r="S238" s="16">
        <v>323</v>
      </c>
      <c r="T238" s="16"/>
      <c r="U238" s="16">
        <v>0</v>
      </c>
      <c r="V238" s="16"/>
      <c r="W238" s="16">
        <v>0</v>
      </c>
      <c r="X238" s="16"/>
      <c r="Y238" s="16">
        <v>200</v>
      </c>
      <c r="Z238" s="16"/>
      <c r="AA238" s="16">
        <v>0</v>
      </c>
      <c r="AB238" s="16"/>
      <c r="AC238" s="16">
        <v>1019</v>
      </c>
      <c r="AD238" s="16"/>
      <c r="AE238" s="16">
        <f t="shared" si="7"/>
        <v>108591</v>
      </c>
    </row>
    <row r="239" spans="1:31" ht="12.75" customHeight="1">
      <c r="A239" s="1" t="s">
        <v>475</v>
      </c>
      <c r="C239" s="1" t="s">
        <v>246</v>
      </c>
      <c r="E239" s="16">
        <v>20828</v>
      </c>
      <c r="F239" s="16"/>
      <c r="G239" s="16">
        <v>0</v>
      </c>
      <c r="H239" s="16"/>
      <c r="I239" s="16">
        <v>43697</v>
      </c>
      <c r="J239" s="16"/>
      <c r="K239" s="16">
        <v>0</v>
      </c>
      <c r="L239" s="16"/>
      <c r="M239" s="16">
        <v>0</v>
      </c>
      <c r="N239" s="16"/>
      <c r="O239" s="16">
        <v>36124</v>
      </c>
      <c r="P239" s="16"/>
      <c r="Q239" s="16">
        <v>2145</v>
      </c>
      <c r="R239" s="16"/>
      <c r="S239" s="16">
        <v>737</v>
      </c>
      <c r="T239" s="16"/>
      <c r="U239" s="16">
        <v>0</v>
      </c>
      <c r="V239" s="16"/>
      <c r="W239" s="16">
        <v>0</v>
      </c>
      <c r="X239" s="16"/>
      <c r="Y239" s="16">
        <v>69251</v>
      </c>
      <c r="Z239" s="16"/>
      <c r="AA239" s="16">
        <v>0</v>
      </c>
      <c r="AB239" s="16"/>
      <c r="AC239" s="16">
        <v>0</v>
      </c>
      <c r="AD239" s="16"/>
      <c r="AE239" s="16">
        <f t="shared" si="7"/>
        <v>172782</v>
      </c>
    </row>
    <row r="240" spans="1:31" ht="12.75" customHeight="1">
      <c r="A240" s="1" t="s">
        <v>609</v>
      </c>
      <c r="C240" s="1" t="s">
        <v>164</v>
      </c>
      <c r="E240" s="16">
        <v>4934</v>
      </c>
      <c r="F240" s="16"/>
      <c r="G240" s="16">
        <v>0</v>
      </c>
      <c r="H240" s="16"/>
      <c r="I240" s="16">
        <v>24363</v>
      </c>
      <c r="J240" s="16"/>
      <c r="K240" s="16">
        <v>0</v>
      </c>
      <c r="L240" s="16"/>
      <c r="M240" s="16">
        <v>0</v>
      </c>
      <c r="N240" s="16"/>
      <c r="O240" s="16">
        <v>216381</v>
      </c>
      <c r="P240" s="16"/>
      <c r="Q240" s="16">
        <v>172</v>
      </c>
      <c r="R240" s="16"/>
      <c r="S240" s="16">
        <v>2364</v>
      </c>
      <c r="T240" s="16"/>
      <c r="U240" s="16">
        <v>18375</v>
      </c>
      <c r="V240" s="16"/>
      <c r="W240" s="16">
        <v>200</v>
      </c>
      <c r="X240" s="16"/>
      <c r="Y240" s="16">
        <v>810</v>
      </c>
      <c r="Z240" s="16"/>
      <c r="AA240" s="16">
        <v>0</v>
      </c>
      <c r="AB240" s="16"/>
      <c r="AC240" s="16">
        <v>0</v>
      </c>
      <c r="AD240" s="16"/>
      <c r="AE240" s="16">
        <f t="shared" si="7"/>
        <v>267599</v>
      </c>
    </row>
    <row r="241" spans="1:31" ht="12.75" customHeight="1">
      <c r="A241" s="1" t="s">
        <v>238</v>
      </c>
      <c r="B241" s="1"/>
      <c r="C241" s="1" t="s">
        <v>239</v>
      </c>
      <c r="D241" s="16"/>
      <c r="E241" s="16">
        <v>24044</v>
      </c>
      <c r="F241" s="16"/>
      <c r="G241" s="16">
        <v>94157</v>
      </c>
      <c r="H241" s="16"/>
      <c r="I241" s="16">
        <f>26767+26319</f>
        <v>53086</v>
      </c>
      <c r="J241" s="16"/>
      <c r="K241" s="16">
        <v>0</v>
      </c>
      <c r="L241" s="16"/>
      <c r="M241" s="16">
        <v>750</v>
      </c>
      <c r="N241" s="16"/>
      <c r="O241" s="16">
        <v>478</v>
      </c>
      <c r="P241" s="16"/>
      <c r="Q241" s="16">
        <v>3657</v>
      </c>
      <c r="R241" s="16"/>
      <c r="S241" s="16">
        <v>14893</v>
      </c>
      <c r="T241" s="16"/>
      <c r="U241" s="16">
        <v>0</v>
      </c>
      <c r="V241" s="16"/>
      <c r="W241" s="16">
        <v>0</v>
      </c>
      <c r="X241" s="16"/>
      <c r="Y241" s="16">
        <v>0</v>
      </c>
      <c r="Z241" s="16"/>
      <c r="AA241" s="16">
        <v>0</v>
      </c>
      <c r="AB241" s="16"/>
      <c r="AC241" s="16">
        <v>0</v>
      </c>
      <c r="AD241" s="16"/>
      <c r="AE241" s="16">
        <f t="shared" si="7"/>
        <v>191065</v>
      </c>
    </row>
    <row r="242" spans="1:31" ht="12.75" customHeight="1">
      <c r="A242" s="1" t="s">
        <v>237</v>
      </c>
      <c r="B242" s="1"/>
      <c r="C242" s="1" t="s">
        <v>231</v>
      </c>
      <c r="D242" s="16"/>
      <c r="E242" s="16">
        <v>61856</v>
      </c>
      <c r="F242" s="16"/>
      <c r="G242" s="16">
        <v>0</v>
      </c>
      <c r="H242" s="16"/>
      <c r="I242" s="16">
        <v>72028</v>
      </c>
      <c r="J242" s="16"/>
      <c r="K242" s="16">
        <v>31250</v>
      </c>
      <c r="L242" s="16"/>
      <c r="M242" s="16">
        <v>0</v>
      </c>
      <c r="N242" s="16"/>
      <c r="O242" s="16">
        <v>8696</v>
      </c>
      <c r="P242" s="16"/>
      <c r="Q242" s="16">
        <v>104</v>
      </c>
      <c r="R242" s="16"/>
      <c r="S242" s="16">
        <v>8957</v>
      </c>
      <c r="T242" s="16"/>
      <c r="U242" s="16">
        <v>72998</v>
      </c>
      <c r="V242" s="16"/>
      <c r="W242" s="16">
        <v>0</v>
      </c>
      <c r="X242" s="16"/>
      <c r="Y242" s="16">
        <v>10122</v>
      </c>
      <c r="Z242" s="16"/>
      <c r="AA242" s="16">
        <v>0</v>
      </c>
      <c r="AB242" s="16"/>
      <c r="AC242" s="16">
        <v>0</v>
      </c>
      <c r="AD242" s="16"/>
      <c r="AE242" s="16">
        <f t="shared" si="7"/>
        <v>266011</v>
      </c>
    </row>
    <row r="243" spans="1:31" ht="12.75" customHeight="1">
      <c r="A243" s="1" t="s">
        <v>504</v>
      </c>
      <c r="C243" s="1" t="s">
        <v>414</v>
      </c>
      <c r="E243" s="16">
        <v>18151</v>
      </c>
      <c r="F243" s="16"/>
      <c r="G243" s="16">
        <v>0</v>
      </c>
      <c r="H243" s="16"/>
      <c r="I243" s="16">
        <v>50865</v>
      </c>
      <c r="J243" s="16"/>
      <c r="K243" s="16">
        <v>0</v>
      </c>
      <c r="L243" s="16"/>
      <c r="M243" s="16">
        <v>0</v>
      </c>
      <c r="N243" s="16"/>
      <c r="O243" s="16">
        <v>10301</v>
      </c>
      <c r="P243" s="16"/>
      <c r="Q243" s="16">
        <v>345</v>
      </c>
      <c r="R243" s="16"/>
      <c r="S243" s="16">
        <v>5158</v>
      </c>
      <c r="T243" s="16"/>
      <c r="U243" s="16">
        <v>0</v>
      </c>
      <c r="V243" s="16"/>
      <c r="W243" s="16">
        <v>0</v>
      </c>
      <c r="X243" s="16"/>
      <c r="Y243" s="16">
        <v>6000</v>
      </c>
      <c r="Z243" s="16"/>
      <c r="AA243" s="16">
        <v>18796</v>
      </c>
      <c r="AB243" s="16"/>
      <c r="AC243" s="16">
        <v>0</v>
      </c>
      <c r="AD243" s="16"/>
      <c r="AE243" s="16">
        <f t="shared" si="7"/>
        <v>109616</v>
      </c>
    </row>
    <row r="244" spans="1:31" ht="12.75" customHeight="1">
      <c r="A244" s="1" t="s">
        <v>627</v>
      </c>
      <c r="C244" s="1" t="s">
        <v>250</v>
      </c>
      <c r="E244" s="16">
        <v>6134</v>
      </c>
      <c r="F244" s="16"/>
      <c r="G244" s="16">
        <v>0</v>
      </c>
      <c r="H244" s="16"/>
      <c r="I244" s="16">
        <v>8391</v>
      </c>
      <c r="J244" s="16"/>
      <c r="K244" s="16">
        <v>2771</v>
      </c>
      <c r="L244" s="16"/>
      <c r="M244" s="16">
        <v>0</v>
      </c>
      <c r="N244" s="16"/>
      <c r="O244" s="16">
        <v>1102</v>
      </c>
      <c r="P244" s="16"/>
      <c r="Q244" s="16">
        <v>0</v>
      </c>
      <c r="R244" s="16"/>
      <c r="S244" s="16">
        <v>15350</v>
      </c>
      <c r="T244" s="16"/>
      <c r="U244" s="16">
        <v>0</v>
      </c>
      <c r="V244" s="16"/>
      <c r="W244" s="16">
        <v>0</v>
      </c>
      <c r="X244" s="16"/>
      <c r="Y244" s="16">
        <v>0</v>
      </c>
      <c r="Z244" s="16"/>
      <c r="AA244" s="16">
        <v>0</v>
      </c>
      <c r="AB244" s="16"/>
      <c r="AC244" s="16">
        <v>0</v>
      </c>
      <c r="AD244" s="16"/>
      <c r="AE244" s="16">
        <f t="shared" si="7"/>
        <v>33748</v>
      </c>
    </row>
    <row r="245" spans="1:31" ht="12.75" customHeight="1">
      <c r="A245" s="1" t="s">
        <v>779</v>
      </c>
      <c r="C245" s="1" t="s">
        <v>151</v>
      </c>
      <c r="E245" s="16">
        <v>17883</v>
      </c>
      <c r="F245" s="16"/>
      <c r="G245" s="16">
        <v>0</v>
      </c>
      <c r="H245" s="16"/>
      <c r="I245" s="16">
        <v>13360</v>
      </c>
      <c r="J245" s="16"/>
      <c r="K245" s="16">
        <v>0</v>
      </c>
      <c r="L245" s="16"/>
      <c r="M245" s="16">
        <v>0</v>
      </c>
      <c r="N245" s="16"/>
      <c r="O245" s="16">
        <v>0</v>
      </c>
      <c r="P245" s="16"/>
      <c r="Q245" s="16">
        <v>1507</v>
      </c>
      <c r="R245" s="16"/>
      <c r="S245" s="16">
        <v>1960</v>
      </c>
      <c r="T245" s="16"/>
      <c r="U245" s="16">
        <v>0</v>
      </c>
      <c r="V245" s="16"/>
      <c r="W245" s="16">
        <v>0</v>
      </c>
      <c r="X245" s="16"/>
      <c r="Y245" s="16">
        <v>0</v>
      </c>
      <c r="Z245" s="16"/>
      <c r="AA245" s="16">
        <v>0</v>
      </c>
      <c r="AB245" s="16"/>
      <c r="AC245" s="16">
        <v>0</v>
      </c>
      <c r="AD245" s="16"/>
      <c r="AE245" s="16">
        <f t="shared" si="7"/>
        <v>34710</v>
      </c>
    </row>
    <row r="246" spans="1:31" ht="12.75" customHeight="1">
      <c r="A246" s="1" t="s">
        <v>542</v>
      </c>
      <c r="C246" s="1" t="s">
        <v>149</v>
      </c>
      <c r="E246" s="16">
        <v>10344</v>
      </c>
      <c r="F246" s="16"/>
      <c r="G246" s="16">
        <v>0</v>
      </c>
      <c r="H246" s="16"/>
      <c r="I246" s="16">
        <v>83593</v>
      </c>
      <c r="J246" s="16"/>
      <c r="K246" s="16">
        <v>126103</v>
      </c>
      <c r="L246" s="16"/>
      <c r="M246" s="16">
        <v>0</v>
      </c>
      <c r="N246" s="16"/>
      <c r="O246" s="16">
        <v>6480</v>
      </c>
      <c r="P246" s="16"/>
      <c r="Q246" s="16">
        <v>441</v>
      </c>
      <c r="R246" s="16"/>
      <c r="S246" s="16">
        <v>3382</v>
      </c>
      <c r="T246" s="16"/>
      <c r="U246" s="16">
        <v>0</v>
      </c>
      <c r="V246" s="16"/>
      <c r="W246" s="16">
        <v>0</v>
      </c>
      <c r="X246" s="16"/>
      <c r="Y246" s="16">
        <v>0</v>
      </c>
      <c r="Z246" s="16"/>
      <c r="AA246" s="16">
        <v>0</v>
      </c>
      <c r="AB246" s="16"/>
      <c r="AC246" s="16">
        <v>0</v>
      </c>
      <c r="AD246" s="16"/>
      <c r="AE246" s="16">
        <f t="shared" si="7"/>
        <v>230343</v>
      </c>
    </row>
    <row r="247" spans="1:31" ht="12.75" customHeight="1">
      <c r="A247" s="1" t="s">
        <v>579</v>
      </c>
      <c r="C247" s="1" t="s">
        <v>133</v>
      </c>
      <c r="E247" s="16">
        <v>9282</v>
      </c>
      <c r="F247" s="16"/>
      <c r="G247" s="16">
        <v>0</v>
      </c>
      <c r="H247" s="16"/>
      <c r="I247" s="16">
        <v>30643</v>
      </c>
      <c r="J247" s="16"/>
      <c r="K247" s="16">
        <v>0</v>
      </c>
      <c r="L247" s="16"/>
      <c r="M247" s="16">
        <v>752</v>
      </c>
      <c r="N247" s="16"/>
      <c r="O247" s="16">
        <v>0</v>
      </c>
      <c r="P247" s="16"/>
      <c r="Q247" s="16">
        <v>301</v>
      </c>
      <c r="R247" s="16"/>
      <c r="S247" s="16">
        <v>185</v>
      </c>
      <c r="T247" s="16"/>
      <c r="U247" s="16">
        <v>0</v>
      </c>
      <c r="V247" s="16"/>
      <c r="W247" s="16">
        <v>0</v>
      </c>
      <c r="X247" s="16"/>
      <c r="Y247" s="16">
        <v>0</v>
      </c>
      <c r="Z247" s="16"/>
      <c r="AA247" s="16">
        <v>0</v>
      </c>
      <c r="AB247" s="16"/>
      <c r="AC247" s="16">
        <v>0</v>
      </c>
      <c r="AD247" s="16"/>
      <c r="AE247" s="16">
        <f t="shared" si="7"/>
        <v>41163</v>
      </c>
    </row>
    <row r="248" spans="1:31" ht="12.75" customHeight="1">
      <c r="A248" s="1" t="s">
        <v>449</v>
      </c>
      <c r="B248" s="1"/>
      <c r="C248" s="1" t="s">
        <v>447</v>
      </c>
      <c r="E248" s="16">
        <v>34771</v>
      </c>
      <c r="F248" s="16"/>
      <c r="G248" s="16">
        <v>0</v>
      </c>
      <c r="H248" s="16"/>
      <c r="I248" s="16">
        <v>36134</v>
      </c>
      <c r="J248" s="16"/>
      <c r="K248" s="16">
        <v>0</v>
      </c>
      <c r="L248" s="16"/>
      <c r="M248" s="16">
        <v>270</v>
      </c>
      <c r="N248" s="16"/>
      <c r="O248" s="16">
        <v>170</v>
      </c>
      <c r="P248" s="16"/>
      <c r="Q248" s="16">
        <v>3285</v>
      </c>
      <c r="R248" s="16"/>
      <c r="S248" s="16">
        <v>17040</v>
      </c>
      <c r="T248" s="16"/>
      <c r="U248" s="16">
        <v>0</v>
      </c>
      <c r="V248" s="16"/>
      <c r="W248" s="16">
        <v>0</v>
      </c>
      <c r="X248" s="16"/>
      <c r="Y248" s="16">
        <v>0</v>
      </c>
      <c r="Z248" s="16"/>
      <c r="AA248" s="16">
        <v>0</v>
      </c>
      <c r="AB248" s="16"/>
      <c r="AC248" s="16">
        <v>0</v>
      </c>
      <c r="AD248" s="16"/>
      <c r="AE248" s="16">
        <f t="shared" si="7"/>
        <v>91670</v>
      </c>
    </row>
    <row r="249" spans="1:31" ht="12.75" customHeight="1">
      <c r="A249" s="1" t="s">
        <v>240</v>
      </c>
      <c r="B249" s="1"/>
      <c r="C249" s="1" t="s">
        <v>231</v>
      </c>
      <c r="D249" s="16"/>
      <c r="E249" s="16">
        <v>12011</v>
      </c>
      <c r="F249" s="16"/>
      <c r="G249" s="16">
        <v>0</v>
      </c>
      <c r="H249" s="16"/>
      <c r="I249" s="16">
        <f>33219+13937</f>
        <v>47156</v>
      </c>
      <c r="J249" s="16"/>
      <c r="K249" s="16">
        <v>3322</v>
      </c>
      <c r="L249" s="16"/>
      <c r="M249" s="16">
        <v>0</v>
      </c>
      <c r="N249" s="16"/>
      <c r="O249" s="16">
        <v>4551</v>
      </c>
      <c r="P249" s="16"/>
      <c r="Q249" s="16">
        <f>355+422</f>
        <v>777</v>
      </c>
      <c r="R249" s="16"/>
      <c r="S249" s="16">
        <v>712</v>
      </c>
      <c r="T249" s="16"/>
      <c r="U249" s="16">
        <v>0</v>
      </c>
      <c r="V249" s="16"/>
      <c r="W249" s="16">
        <v>0</v>
      </c>
      <c r="X249" s="16"/>
      <c r="Y249" s="16">
        <v>0</v>
      </c>
      <c r="Z249" s="16"/>
      <c r="AA249" s="16">
        <v>0</v>
      </c>
      <c r="AB249" s="16"/>
      <c r="AC249" s="16">
        <v>0</v>
      </c>
      <c r="AD249" s="16"/>
      <c r="AE249" s="16">
        <f t="shared" si="7"/>
        <v>68529</v>
      </c>
    </row>
    <row r="250" spans="1:31" ht="12.75" customHeight="1">
      <c r="A250" s="1" t="s">
        <v>241</v>
      </c>
      <c r="B250" s="1"/>
      <c r="C250" s="1" t="s">
        <v>106</v>
      </c>
      <c r="D250" s="16"/>
      <c r="E250" s="16">
        <v>499815</v>
      </c>
      <c r="F250" s="16"/>
      <c r="G250" s="16">
        <v>822562</v>
      </c>
      <c r="H250" s="16"/>
      <c r="I250" s="16">
        <v>579880</v>
      </c>
      <c r="J250" s="16"/>
      <c r="K250" s="16">
        <v>0</v>
      </c>
      <c r="L250" s="16"/>
      <c r="M250" s="16">
        <v>98100</v>
      </c>
      <c r="N250" s="16"/>
      <c r="O250" s="16">
        <v>48575</v>
      </c>
      <c r="P250" s="16"/>
      <c r="Q250" s="16">
        <v>7949</v>
      </c>
      <c r="R250" s="16"/>
      <c r="S250" s="16">
        <v>95225</v>
      </c>
      <c r="T250" s="16"/>
      <c r="U250" s="16">
        <v>0</v>
      </c>
      <c r="V250" s="16"/>
      <c r="W250" s="16">
        <v>0</v>
      </c>
      <c r="X250" s="16"/>
      <c r="Y250" s="16">
        <v>636000</v>
      </c>
      <c r="Z250" s="16"/>
      <c r="AA250" s="16">
        <v>0</v>
      </c>
      <c r="AB250" s="16"/>
      <c r="AC250" s="16">
        <v>0</v>
      </c>
      <c r="AD250" s="16"/>
      <c r="AE250" s="16">
        <f t="shared" si="7"/>
        <v>2788106</v>
      </c>
    </row>
    <row r="251" spans="1:31" ht="12.75" customHeight="1">
      <c r="A251" s="1" t="s">
        <v>753</v>
      </c>
      <c r="C251" s="1" t="s">
        <v>172</v>
      </c>
      <c r="E251" s="16">
        <v>43609</v>
      </c>
      <c r="F251" s="16"/>
      <c r="G251" s="16">
        <v>0</v>
      </c>
      <c r="H251" s="16"/>
      <c r="I251" s="16">
        <v>57710</v>
      </c>
      <c r="J251" s="16"/>
      <c r="K251" s="16">
        <v>0</v>
      </c>
      <c r="L251" s="16"/>
      <c r="M251" s="16">
        <v>93374</v>
      </c>
      <c r="N251" s="16"/>
      <c r="O251" s="16">
        <v>72615</v>
      </c>
      <c r="P251" s="16"/>
      <c r="Q251" s="16">
        <v>379</v>
      </c>
      <c r="R251" s="16"/>
      <c r="S251" s="16">
        <v>1112</v>
      </c>
      <c r="T251" s="16"/>
      <c r="U251" s="16">
        <v>0</v>
      </c>
      <c r="V251" s="16"/>
      <c r="W251" s="16">
        <v>0</v>
      </c>
      <c r="X251" s="16"/>
      <c r="Y251" s="16">
        <v>30767</v>
      </c>
      <c r="Z251" s="16"/>
      <c r="AA251" s="16">
        <v>0</v>
      </c>
      <c r="AB251" s="16"/>
      <c r="AC251" s="16">
        <v>0</v>
      </c>
      <c r="AD251" s="16"/>
      <c r="AE251" s="16">
        <f t="shared" si="7"/>
        <v>299566</v>
      </c>
    </row>
    <row r="252" spans="1:31" ht="12.75" customHeight="1">
      <c r="A252" s="1" t="s">
        <v>771</v>
      </c>
      <c r="C252" s="1" t="s">
        <v>94</v>
      </c>
      <c r="E252" s="16">
        <v>80370</v>
      </c>
      <c r="F252" s="16"/>
      <c r="G252" s="16">
        <v>120744</v>
      </c>
      <c r="H252" s="16"/>
      <c r="I252" s="16">
        <v>62461</v>
      </c>
      <c r="J252" s="16"/>
      <c r="K252" s="16">
        <v>0</v>
      </c>
      <c r="L252" s="16"/>
      <c r="M252" s="16">
        <v>1013</v>
      </c>
      <c r="N252" s="16"/>
      <c r="O252" s="16">
        <v>25812</v>
      </c>
      <c r="P252" s="16"/>
      <c r="Q252" s="16">
        <v>10560</v>
      </c>
      <c r="R252" s="16"/>
      <c r="S252" s="16">
        <v>160</v>
      </c>
      <c r="T252" s="16"/>
      <c r="U252" s="16">
        <v>0</v>
      </c>
      <c r="V252" s="16"/>
      <c r="W252" s="16">
        <v>300</v>
      </c>
      <c r="X252" s="16"/>
      <c r="Y252" s="16">
        <v>123842</v>
      </c>
      <c r="Z252" s="16"/>
      <c r="AA252" s="16">
        <v>0</v>
      </c>
      <c r="AB252" s="16"/>
      <c r="AC252" s="16">
        <v>0</v>
      </c>
      <c r="AD252" s="16"/>
      <c r="AE252" s="16">
        <f t="shared" si="7"/>
        <v>425262</v>
      </c>
    </row>
    <row r="253" spans="1:31" ht="12.75" customHeight="1">
      <c r="A253" s="1" t="s">
        <v>679</v>
      </c>
      <c r="C253" s="1" t="s">
        <v>82</v>
      </c>
      <c r="E253" s="16">
        <v>27608</v>
      </c>
      <c r="F253" s="16"/>
      <c r="G253" s="16">
        <v>0</v>
      </c>
      <c r="H253" s="16"/>
      <c r="I253" s="16">
        <v>32738</v>
      </c>
      <c r="J253" s="16"/>
      <c r="K253" s="16">
        <v>0</v>
      </c>
      <c r="L253" s="16"/>
      <c r="M253" s="16">
        <v>0</v>
      </c>
      <c r="N253" s="16"/>
      <c r="O253" s="16">
        <v>0</v>
      </c>
      <c r="P253" s="16"/>
      <c r="Q253" s="16">
        <v>981</v>
      </c>
      <c r="R253" s="16"/>
      <c r="S253" s="16">
        <v>3964</v>
      </c>
      <c r="T253" s="16"/>
      <c r="U253" s="16">
        <v>0</v>
      </c>
      <c r="V253" s="16"/>
      <c r="W253" s="16">
        <v>0</v>
      </c>
      <c r="X253" s="16"/>
      <c r="Y253" s="16">
        <v>0</v>
      </c>
      <c r="Z253" s="16"/>
      <c r="AA253" s="16">
        <v>0</v>
      </c>
      <c r="AB253" s="16"/>
      <c r="AC253" s="16">
        <v>0</v>
      </c>
      <c r="AD253" s="16"/>
      <c r="AE253" s="16">
        <f t="shared" si="7"/>
        <v>65291</v>
      </c>
    </row>
    <row r="254" spans="1:31" ht="12.75" customHeight="1">
      <c r="A254" s="1" t="s">
        <v>452</v>
      </c>
      <c r="B254" s="1"/>
      <c r="C254" s="1" t="s">
        <v>453</v>
      </c>
      <c r="E254" s="16">
        <v>22655</v>
      </c>
      <c r="F254" s="16"/>
      <c r="G254" s="16">
        <v>0</v>
      </c>
      <c r="H254" s="16"/>
      <c r="I254" s="16">
        <v>91721</v>
      </c>
      <c r="J254" s="16"/>
      <c r="K254" s="16">
        <v>0</v>
      </c>
      <c r="L254" s="16"/>
      <c r="M254" s="16">
        <v>7960</v>
      </c>
      <c r="N254" s="16"/>
      <c r="O254" s="16">
        <v>2146</v>
      </c>
      <c r="P254" s="16"/>
      <c r="Q254" s="16">
        <v>2009</v>
      </c>
      <c r="R254" s="16"/>
      <c r="S254" s="16">
        <v>137</v>
      </c>
      <c r="T254" s="16"/>
      <c r="U254" s="16">
        <v>0</v>
      </c>
      <c r="V254" s="16"/>
      <c r="W254" s="16">
        <v>0</v>
      </c>
      <c r="X254" s="16"/>
      <c r="Y254" s="16">
        <v>0</v>
      </c>
      <c r="Z254" s="16"/>
      <c r="AA254" s="16">
        <v>0</v>
      </c>
      <c r="AB254" s="16"/>
      <c r="AC254" s="16">
        <v>0</v>
      </c>
      <c r="AD254" s="16"/>
      <c r="AE254" s="16">
        <f t="shared" si="7"/>
        <v>126628</v>
      </c>
    </row>
    <row r="255" spans="1:31" ht="12.75" customHeight="1">
      <c r="A255" s="1" t="s">
        <v>242</v>
      </c>
      <c r="B255" s="1"/>
      <c r="C255" s="1" t="s">
        <v>231</v>
      </c>
      <c r="D255" s="16"/>
      <c r="E255" s="16">
        <v>1492589</v>
      </c>
      <c r="F255" s="16"/>
      <c r="G255" s="16">
        <v>0</v>
      </c>
      <c r="H255" s="16"/>
      <c r="I255" s="16">
        <v>243488</v>
      </c>
      <c r="J255" s="16"/>
      <c r="K255" s="16">
        <v>0</v>
      </c>
      <c r="L255" s="16"/>
      <c r="M255" s="16">
        <v>679078</v>
      </c>
      <c r="N255" s="16"/>
      <c r="O255" s="16">
        <v>30675</v>
      </c>
      <c r="P255" s="16"/>
      <c r="Q255" s="16">
        <v>282956</v>
      </c>
      <c r="R255" s="16"/>
      <c r="S255" s="16">
        <v>63213</v>
      </c>
      <c r="T255" s="16"/>
      <c r="U255" s="16">
        <v>3515000</v>
      </c>
      <c r="V255" s="16"/>
      <c r="W255" s="16">
        <v>0</v>
      </c>
      <c r="X255" s="16"/>
      <c r="Y255" s="16">
        <v>773083</v>
      </c>
      <c r="Z255" s="16"/>
      <c r="AA255" s="16">
        <v>0</v>
      </c>
      <c r="AB255" s="16"/>
      <c r="AC255" s="16">
        <v>0</v>
      </c>
      <c r="AD255" s="16"/>
      <c r="AE255" s="16">
        <f t="shared" si="7"/>
        <v>7080082</v>
      </c>
    </row>
    <row r="256" spans="1:31" ht="12.75" customHeight="1">
      <c r="A256" s="1" t="s">
        <v>718</v>
      </c>
      <c r="C256" s="1" t="s">
        <v>142</v>
      </c>
      <c r="E256" s="16">
        <v>21930</v>
      </c>
      <c r="F256" s="16"/>
      <c r="G256" s="16">
        <v>0</v>
      </c>
      <c r="H256" s="16"/>
      <c r="I256" s="16">
        <v>35965</v>
      </c>
      <c r="J256" s="16"/>
      <c r="K256" s="16">
        <v>0</v>
      </c>
      <c r="L256" s="16"/>
      <c r="M256" s="16">
        <v>76</v>
      </c>
      <c r="N256" s="16"/>
      <c r="O256" s="16">
        <v>0</v>
      </c>
      <c r="P256" s="16"/>
      <c r="Q256" s="16">
        <v>13183</v>
      </c>
      <c r="R256" s="16"/>
      <c r="S256" s="16">
        <v>110</v>
      </c>
      <c r="T256" s="16"/>
      <c r="U256" s="16">
        <v>0</v>
      </c>
      <c r="V256" s="16"/>
      <c r="W256" s="16">
        <v>0</v>
      </c>
      <c r="X256" s="16"/>
      <c r="Y256" s="16">
        <v>0</v>
      </c>
      <c r="Z256" s="16"/>
      <c r="AA256" s="16">
        <v>0</v>
      </c>
      <c r="AB256" s="16"/>
      <c r="AC256" s="16">
        <v>0</v>
      </c>
      <c r="AD256" s="16"/>
      <c r="AE256" s="16">
        <f t="shared" si="7"/>
        <v>71264</v>
      </c>
    </row>
    <row r="257" spans="1:31" ht="12.75" customHeight="1">
      <c r="A257" s="1" t="s">
        <v>243</v>
      </c>
      <c r="B257" s="1"/>
      <c r="C257" s="1" t="s">
        <v>244</v>
      </c>
      <c r="D257" s="16"/>
      <c r="E257" s="16">
        <f>1035583+57824</f>
        <v>1093407</v>
      </c>
      <c r="F257" s="16"/>
      <c r="G257" s="16">
        <v>0</v>
      </c>
      <c r="H257" s="16"/>
      <c r="I257" s="16">
        <f>236497+160556+63063</f>
        <v>460116</v>
      </c>
      <c r="J257" s="16"/>
      <c r="K257" s="16">
        <v>88097</v>
      </c>
      <c r="L257" s="16"/>
      <c r="M257" s="16">
        <f>67258+33212</f>
        <v>100470</v>
      </c>
      <c r="N257" s="16"/>
      <c r="O257" s="16">
        <f>54560+1110</f>
        <v>55670</v>
      </c>
      <c r="P257" s="16"/>
      <c r="Q257" s="16">
        <f>97805+2510</f>
        <v>100315</v>
      </c>
      <c r="R257" s="16"/>
      <c r="S257" s="16">
        <f>60651+229669+5484</f>
        <v>295804</v>
      </c>
      <c r="T257" s="16"/>
      <c r="U257" s="16">
        <v>0</v>
      </c>
      <c r="V257" s="16"/>
      <c r="W257" s="16">
        <v>0</v>
      </c>
      <c r="X257" s="16"/>
      <c r="Y257" s="16">
        <v>379723</v>
      </c>
      <c r="Z257" s="16"/>
      <c r="AA257" s="16">
        <v>0</v>
      </c>
      <c r="AB257" s="16"/>
      <c r="AC257" s="16">
        <v>0</v>
      </c>
      <c r="AD257" s="16"/>
      <c r="AE257" s="16">
        <f t="shared" si="7"/>
        <v>2573602</v>
      </c>
    </row>
    <row r="258" spans="1:31" ht="12.75" customHeight="1">
      <c r="A258" s="1" t="s">
        <v>245</v>
      </c>
      <c r="B258" s="1"/>
      <c r="C258" s="1" t="s">
        <v>246</v>
      </c>
      <c r="E258" s="16">
        <f>50461+67208+8555</f>
        <v>126224</v>
      </c>
      <c r="F258" s="16"/>
      <c r="G258" s="16">
        <v>0</v>
      </c>
      <c r="H258" s="16"/>
      <c r="I258" s="16">
        <v>0</v>
      </c>
      <c r="J258" s="16"/>
      <c r="K258" s="16">
        <v>0</v>
      </c>
      <c r="L258" s="16"/>
      <c r="M258" s="16">
        <v>0</v>
      </c>
      <c r="N258" s="16"/>
      <c r="O258" s="16">
        <v>0</v>
      </c>
      <c r="P258" s="16"/>
      <c r="Q258" s="16">
        <v>0</v>
      </c>
      <c r="R258" s="16"/>
      <c r="S258" s="16">
        <v>0</v>
      </c>
      <c r="T258" s="16"/>
      <c r="U258" s="16">
        <v>0</v>
      </c>
      <c r="V258" s="16"/>
      <c r="W258" s="16">
        <v>0</v>
      </c>
      <c r="X258" s="16"/>
      <c r="Y258" s="16">
        <v>0</v>
      </c>
      <c r="Z258" s="16"/>
      <c r="AA258" s="16">
        <v>0</v>
      </c>
      <c r="AB258" s="16"/>
      <c r="AC258" s="16">
        <v>39811</v>
      </c>
      <c r="AD258" s="16"/>
      <c r="AE258" s="16">
        <f t="shared" si="7"/>
        <v>166035</v>
      </c>
    </row>
    <row r="259" spans="1:31" ht="12.75" customHeight="1">
      <c r="A259" s="1" t="s">
        <v>247</v>
      </c>
      <c r="B259" s="1"/>
      <c r="C259" s="1" t="s">
        <v>247</v>
      </c>
      <c r="D259" s="16"/>
      <c r="E259" s="16">
        <v>7607</v>
      </c>
      <c r="F259" s="16"/>
      <c r="G259" s="16">
        <v>0</v>
      </c>
      <c r="H259" s="16"/>
      <c r="I259" s="16">
        <v>40780</v>
      </c>
      <c r="J259" s="16"/>
      <c r="K259" s="16">
        <v>0</v>
      </c>
      <c r="L259" s="16"/>
      <c r="M259" s="16">
        <v>0</v>
      </c>
      <c r="N259" s="16"/>
      <c r="O259" s="16">
        <v>0</v>
      </c>
      <c r="P259" s="16"/>
      <c r="Q259" s="16">
        <v>91</v>
      </c>
      <c r="R259" s="16"/>
      <c r="S259" s="16">
        <v>3471</v>
      </c>
      <c r="T259" s="16"/>
      <c r="U259" s="16">
        <v>42311</v>
      </c>
      <c r="V259" s="16"/>
      <c r="W259" s="16">
        <v>0</v>
      </c>
      <c r="X259" s="16"/>
      <c r="Y259" s="16">
        <v>0</v>
      </c>
      <c r="Z259" s="16"/>
      <c r="AA259" s="16">
        <v>0</v>
      </c>
      <c r="AB259" s="16"/>
      <c r="AC259" s="16">
        <v>0</v>
      </c>
      <c r="AD259" s="16"/>
      <c r="AE259" s="16">
        <f t="shared" si="7"/>
        <v>94260</v>
      </c>
    </row>
    <row r="260" spans="1:31" ht="12.75" customHeight="1">
      <c r="A260" s="1" t="s">
        <v>730</v>
      </c>
      <c r="C260" s="1" t="s">
        <v>106</v>
      </c>
      <c r="E260" s="16">
        <v>188361</v>
      </c>
      <c r="F260" s="16"/>
      <c r="G260" s="16">
        <v>0</v>
      </c>
      <c r="H260" s="16"/>
      <c r="I260" s="16">
        <v>131263</v>
      </c>
      <c r="J260" s="16"/>
      <c r="K260" s="16">
        <v>0</v>
      </c>
      <c r="L260" s="16"/>
      <c r="M260" s="16">
        <v>0</v>
      </c>
      <c r="N260" s="16"/>
      <c r="O260" s="16">
        <v>1903</v>
      </c>
      <c r="P260" s="16"/>
      <c r="Q260" s="16">
        <v>79105</v>
      </c>
      <c r="R260" s="16"/>
      <c r="S260" s="16">
        <v>28849</v>
      </c>
      <c r="T260" s="16"/>
      <c r="U260" s="16">
        <v>0</v>
      </c>
      <c r="V260" s="16"/>
      <c r="W260" s="16">
        <v>0</v>
      </c>
      <c r="X260" s="16"/>
      <c r="Y260" s="16">
        <v>0</v>
      </c>
      <c r="Z260" s="16"/>
      <c r="AA260" s="16">
        <v>0</v>
      </c>
      <c r="AB260" s="16"/>
      <c r="AC260" s="16">
        <v>0</v>
      </c>
      <c r="AD260" s="16"/>
      <c r="AE260" s="16">
        <f t="shared" si="7"/>
        <v>429481</v>
      </c>
    </row>
    <row r="261" spans="1:31" ht="12.75" customHeight="1">
      <c r="A261" s="1" t="s">
        <v>691</v>
      </c>
      <c r="C261" s="1" t="s">
        <v>137</v>
      </c>
      <c r="E261" s="16">
        <v>63237</v>
      </c>
      <c r="F261" s="16"/>
      <c r="G261" s="16">
        <v>503848</v>
      </c>
      <c r="H261" s="16"/>
      <c r="I261" s="16">
        <v>336321</v>
      </c>
      <c r="J261" s="16"/>
      <c r="K261" s="16">
        <v>0</v>
      </c>
      <c r="L261" s="16"/>
      <c r="M261" s="16">
        <v>305760</v>
      </c>
      <c r="N261" s="16"/>
      <c r="O261" s="16">
        <v>24653</v>
      </c>
      <c r="P261" s="16"/>
      <c r="Q261" s="16">
        <v>19564</v>
      </c>
      <c r="R261" s="16"/>
      <c r="S261" s="16">
        <v>29881</v>
      </c>
      <c r="T261" s="16"/>
      <c r="U261" s="16">
        <v>0</v>
      </c>
      <c r="V261" s="16"/>
      <c r="W261" s="16">
        <v>0</v>
      </c>
      <c r="X261" s="16"/>
      <c r="Y261" s="16">
        <v>388193</v>
      </c>
      <c r="Z261" s="16"/>
      <c r="AA261" s="16">
        <v>50000</v>
      </c>
      <c r="AB261" s="16"/>
      <c r="AC261" s="16">
        <v>0</v>
      </c>
      <c r="AD261" s="16"/>
      <c r="AE261" s="16">
        <f t="shared" si="7"/>
        <v>1721457</v>
      </c>
    </row>
    <row r="262" spans="1:31" ht="12.75" customHeight="1">
      <c r="A262" s="1" t="s">
        <v>248</v>
      </c>
      <c r="B262" s="1"/>
      <c r="C262" s="1" t="s">
        <v>239</v>
      </c>
      <c r="D262" s="16"/>
      <c r="E262" s="16">
        <v>54199</v>
      </c>
      <c r="F262" s="16"/>
      <c r="G262" s="16">
        <v>197186</v>
      </c>
      <c r="H262" s="16"/>
      <c r="I262" s="16">
        <v>126239</v>
      </c>
      <c r="J262" s="16"/>
      <c r="K262" s="16">
        <v>0</v>
      </c>
      <c r="L262" s="16"/>
      <c r="M262" s="16">
        <v>6880</v>
      </c>
      <c r="N262" s="16"/>
      <c r="O262" s="16">
        <v>2863</v>
      </c>
      <c r="P262" s="16"/>
      <c r="Q262" s="16">
        <v>7701</v>
      </c>
      <c r="R262" s="16"/>
      <c r="S262" s="16">
        <v>8501</v>
      </c>
      <c r="T262" s="16"/>
      <c r="U262" s="16">
        <v>0</v>
      </c>
      <c r="V262" s="16"/>
      <c r="W262" s="16">
        <v>0</v>
      </c>
      <c r="X262" s="16"/>
      <c r="Y262" s="16">
        <v>0</v>
      </c>
      <c r="Z262" s="16"/>
      <c r="AA262" s="16">
        <v>0</v>
      </c>
      <c r="AB262" s="16"/>
      <c r="AC262" s="16">
        <v>60454</v>
      </c>
      <c r="AD262" s="16"/>
      <c r="AE262" s="16">
        <f t="shared" si="7"/>
        <v>464023</v>
      </c>
    </row>
    <row r="263" spans="1:31" ht="12.75" customHeight="1">
      <c r="A263" s="1" t="s">
        <v>782</v>
      </c>
      <c r="C263" s="1" t="s">
        <v>190</v>
      </c>
      <c r="E263" s="16">
        <v>304213</v>
      </c>
      <c r="F263" s="16"/>
      <c r="G263" s="16">
        <v>0</v>
      </c>
      <c r="H263" s="16"/>
      <c r="I263" s="16">
        <v>13316</v>
      </c>
      <c r="J263" s="16"/>
      <c r="K263" s="16">
        <v>0</v>
      </c>
      <c r="L263" s="16"/>
      <c r="M263" s="16">
        <v>0</v>
      </c>
      <c r="N263" s="16"/>
      <c r="O263" s="16">
        <v>0</v>
      </c>
      <c r="P263" s="16"/>
      <c r="Q263" s="16">
        <v>4806</v>
      </c>
      <c r="R263" s="16"/>
      <c r="S263" s="16">
        <v>1227</v>
      </c>
      <c r="T263" s="16"/>
      <c r="U263" s="16">
        <v>0</v>
      </c>
      <c r="V263" s="16"/>
      <c r="W263" s="16">
        <v>0</v>
      </c>
      <c r="X263" s="16"/>
      <c r="Y263" s="16">
        <v>33203</v>
      </c>
      <c r="Z263" s="16"/>
      <c r="AA263" s="16">
        <v>0</v>
      </c>
      <c r="AB263" s="16"/>
      <c r="AC263" s="16">
        <v>0</v>
      </c>
      <c r="AD263" s="16"/>
      <c r="AE263" s="16">
        <f t="shared" si="7"/>
        <v>356765</v>
      </c>
    </row>
    <row r="264" spans="1:31" ht="12.75" customHeight="1">
      <c r="A264" s="1" t="s">
        <v>249</v>
      </c>
      <c r="B264" s="1"/>
      <c r="C264" s="1" t="s">
        <v>250</v>
      </c>
      <c r="D264" s="16"/>
      <c r="E264" s="16">
        <v>42141</v>
      </c>
      <c r="F264" s="16"/>
      <c r="G264" s="16">
        <v>1956529</v>
      </c>
      <c r="H264" s="16"/>
      <c r="I264" s="16">
        <v>711228</v>
      </c>
      <c r="J264" s="16"/>
      <c r="K264" s="16">
        <v>208312</v>
      </c>
      <c r="L264" s="16"/>
      <c r="M264" s="16">
        <v>6011</v>
      </c>
      <c r="N264" s="16"/>
      <c r="O264" s="16">
        <v>31284</v>
      </c>
      <c r="P264" s="16"/>
      <c r="Q264" s="16">
        <v>60945</v>
      </c>
      <c r="R264" s="16"/>
      <c r="S264" s="16">
        <v>161293</v>
      </c>
      <c r="T264" s="16"/>
      <c r="U264" s="16">
        <v>0</v>
      </c>
      <c r="V264" s="16"/>
      <c r="W264" s="16">
        <v>0</v>
      </c>
      <c r="X264" s="16"/>
      <c r="Y264" s="16">
        <v>566093</v>
      </c>
      <c r="Z264" s="16"/>
      <c r="AA264" s="16">
        <v>0</v>
      </c>
      <c r="AB264" s="16"/>
      <c r="AC264" s="16">
        <v>0</v>
      </c>
      <c r="AD264" s="16"/>
      <c r="AE264" s="16">
        <f t="shared" si="7"/>
        <v>3743836</v>
      </c>
    </row>
    <row r="265" spans="1:31" ht="12.75" customHeight="1">
      <c r="A265" s="1" t="s">
        <v>251</v>
      </c>
      <c r="B265" s="1"/>
      <c r="C265" s="1" t="s">
        <v>78</v>
      </c>
      <c r="D265" s="16"/>
      <c r="E265" s="16">
        <f>14641+7247</f>
        <v>21888</v>
      </c>
      <c r="F265" s="16"/>
      <c r="G265" s="16">
        <v>0</v>
      </c>
      <c r="H265" s="16"/>
      <c r="I265" s="16">
        <f>48476+9727</f>
        <v>58203</v>
      </c>
      <c r="J265" s="16"/>
      <c r="K265" s="16">
        <v>0</v>
      </c>
      <c r="L265" s="16"/>
      <c r="M265" s="16">
        <v>0</v>
      </c>
      <c r="N265" s="16"/>
      <c r="O265" s="16">
        <v>0</v>
      </c>
      <c r="P265" s="16"/>
      <c r="Q265" s="16">
        <v>172</v>
      </c>
      <c r="R265" s="16"/>
      <c r="S265" s="16">
        <f>1730+729</f>
        <v>2459</v>
      </c>
      <c r="T265" s="16"/>
      <c r="U265" s="16">
        <v>0</v>
      </c>
      <c r="V265" s="16"/>
      <c r="W265" s="16">
        <v>0</v>
      </c>
      <c r="X265" s="16"/>
      <c r="Y265" s="16">
        <v>0</v>
      </c>
      <c r="Z265" s="16"/>
      <c r="AA265" s="16">
        <v>0</v>
      </c>
      <c r="AB265" s="16"/>
      <c r="AC265" s="16">
        <v>0</v>
      </c>
      <c r="AD265" s="16"/>
      <c r="AE265" s="16">
        <f t="shared" si="7"/>
        <v>82722</v>
      </c>
    </row>
    <row r="266" spans="1:31" ht="12.75" customHeight="1">
      <c r="A266" s="1" t="s">
        <v>468</v>
      </c>
      <c r="B266" s="1"/>
      <c r="C266" s="1" t="s">
        <v>100</v>
      </c>
      <c r="E266" s="16">
        <v>25315</v>
      </c>
      <c r="F266" s="16"/>
      <c r="G266" s="16">
        <v>0</v>
      </c>
      <c r="H266" s="16"/>
      <c r="I266" s="16">
        <v>56962</v>
      </c>
      <c r="J266" s="16"/>
      <c r="K266" s="16">
        <v>0</v>
      </c>
      <c r="L266" s="16"/>
      <c r="M266" s="16">
        <v>17756</v>
      </c>
      <c r="N266" s="16"/>
      <c r="O266" s="16">
        <v>68</v>
      </c>
      <c r="P266" s="16"/>
      <c r="Q266" s="16">
        <v>4836</v>
      </c>
      <c r="R266" s="16"/>
      <c r="S266" s="16">
        <v>3468</v>
      </c>
      <c r="T266" s="16"/>
      <c r="U266" s="16">
        <v>0</v>
      </c>
      <c r="V266" s="16"/>
      <c r="W266" s="16">
        <v>0</v>
      </c>
      <c r="X266" s="16"/>
      <c r="Y266" s="16">
        <v>0</v>
      </c>
      <c r="Z266" s="16"/>
      <c r="AA266" s="16">
        <v>0</v>
      </c>
      <c r="AB266" s="16"/>
      <c r="AC266" s="16">
        <v>0</v>
      </c>
      <c r="AD266" s="16"/>
      <c r="AE266" s="16">
        <f t="shared" si="7"/>
        <v>108405</v>
      </c>
    </row>
    <row r="267" spans="1:31" ht="12.75" customHeight="1">
      <c r="A267" s="1" t="s">
        <v>784</v>
      </c>
      <c r="B267" s="1"/>
      <c r="E267" s="1"/>
      <c r="F267" s="1"/>
      <c r="G267" s="1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0"/>
      <c r="AC267" s="16"/>
      <c r="AD267" s="20"/>
      <c r="AE267" s="32" t="s">
        <v>785</v>
      </c>
    </row>
    <row r="268" spans="1:31" s="36" customFormat="1" ht="12.75" customHeight="1">
      <c r="A268" s="36" t="s">
        <v>580</v>
      </c>
      <c r="B268" s="42"/>
      <c r="C268" s="36" t="s">
        <v>133</v>
      </c>
      <c r="E268" s="36">
        <v>140336</v>
      </c>
      <c r="G268" s="36">
        <v>0</v>
      </c>
      <c r="I268" s="36">
        <v>157894</v>
      </c>
      <c r="K268" s="36">
        <v>9892</v>
      </c>
      <c r="M268" s="36">
        <v>0</v>
      </c>
      <c r="O268" s="36">
        <v>4595</v>
      </c>
      <c r="Q268" s="36">
        <v>1312</v>
      </c>
      <c r="S268" s="36">
        <v>27936</v>
      </c>
      <c r="U268" s="36">
        <v>0</v>
      </c>
      <c r="W268" s="36">
        <v>7001</v>
      </c>
      <c r="Y268" s="36">
        <v>89464</v>
      </c>
      <c r="AA268" s="36">
        <v>0</v>
      </c>
      <c r="AC268" s="36">
        <v>23602</v>
      </c>
      <c r="AE268" s="36">
        <f aca="true" t="shared" si="8" ref="AE268:AE299">SUM(E268:AC268)</f>
        <v>462032</v>
      </c>
    </row>
    <row r="269" spans="1:31" ht="12.75" customHeight="1">
      <c r="A269" s="1" t="s">
        <v>772</v>
      </c>
      <c r="C269" s="1" t="s">
        <v>94</v>
      </c>
      <c r="E269" s="16">
        <v>6829</v>
      </c>
      <c r="F269" s="16"/>
      <c r="G269" s="16">
        <v>0</v>
      </c>
      <c r="H269" s="16"/>
      <c r="I269" s="16">
        <v>29317</v>
      </c>
      <c r="J269" s="16"/>
      <c r="K269" s="16">
        <v>10864</v>
      </c>
      <c r="L269" s="16"/>
      <c r="M269" s="16">
        <v>0</v>
      </c>
      <c r="N269" s="16"/>
      <c r="O269" s="16">
        <v>0</v>
      </c>
      <c r="P269" s="16"/>
      <c r="Q269" s="16">
        <v>64</v>
      </c>
      <c r="R269" s="16"/>
      <c r="S269" s="16">
        <v>6164</v>
      </c>
      <c r="T269" s="16"/>
      <c r="U269" s="16">
        <v>0</v>
      </c>
      <c r="V269" s="16"/>
      <c r="W269" s="16">
        <v>0</v>
      </c>
      <c r="X269" s="16"/>
      <c r="Y269" s="16">
        <v>0</v>
      </c>
      <c r="Z269" s="16"/>
      <c r="AA269" s="16">
        <v>0</v>
      </c>
      <c r="AB269" s="16"/>
      <c r="AC269" s="16">
        <v>0</v>
      </c>
      <c r="AD269" s="16"/>
      <c r="AE269" s="16">
        <f t="shared" si="8"/>
        <v>53238</v>
      </c>
    </row>
    <row r="270" spans="1:31" ht="12.75" customHeight="1">
      <c r="A270" s="1" t="s">
        <v>252</v>
      </c>
      <c r="B270" s="1"/>
      <c r="C270" s="1" t="s">
        <v>112</v>
      </c>
      <c r="D270" s="16"/>
      <c r="E270" s="16">
        <v>643313</v>
      </c>
      <c r="F270" s="16"/>
      <c r="G270" s="16">
        <v>4547</v>
      </c>
      <c r="H270" s="16"/>
      <c r="I270" s="16">
        <v>2479985</v>
      </c>
      <c r="J270" s="16"/>
      <c r="K270" s="16">
        <v>0</v>
      </c>
      <c r="L270" s="16"/>
      <c r="M270" s="16">
        <v>53150</v>
      </c>
      <c r="N270" s="16"/>
      <c r="O270" s="16">
        <v>74091</v>
      </c>
      <c r="P270" s="16"/>
      <c r="Q270" s="16">
        <v>242511</v>
      </c>
      <c r="R270" s="16"/>
      <c r="S270" s="16">
        <v>365756</v>
      </c>
      <c r="T270" s="16"/>
      <c r="U270" s="16">
        <v>4761685</v>
      </c>
      <c r="V270" s="16"/>
      <c r="W270" s="16">
        <v>0</v>
      </c>
      <c r="X270" s="16"/>
      <c r="Y270" s="16">
        <v>0</v>
      </c>
      <c r="Z270" s="16"/>
      <c r="AA270" s="16">
        <v>0</v>
      </c>
      <c r="AB270" s="16"/>
      <c r="AC270" s="16">
        <v>0</v>
      </c>
      <c r="AD270" s="16"/>
      <c r="AE270" s="16">
        <f t="shared" si="8"/>
        <v>8625038</v>
      </c>
    </row>
    <row r="271" spans="1:31" ht="12.75" customHeight="1">
      <c r="A271" s="1" t="s">
        <v>618</v>
      </c>
      <c r="C271" s="1" t="s">
        <v>369</v>
      </c>
      <c r="E271" s="16">
        <v>9767</v>
      </c>
      <c r="F271" s="16"/>
      <c r="G271" s="16">
        <v>74760</v>
      </c>
      <c r="H271" s="16"/>
      <c r="I271" s="16">
        <v>189530</v>
      </c>
      <c r="J271" s="16"/>
      <c r="K271" s="16">
        <v>0</v>
      </c>
      <c r="L271" s="16"/>
      <c r="M271" s="16">
        <v>54841</v>
      </c>
      <c r="N271" s="16"/>
      <c r="O271" s="16">
        <v>344</v>
      </c>
      <c r="P271" s="16"/>
      <c r="Q271" s="16">
        <v>1234</v>
      </c>
      <c r="R271" s="16"/>
      <c r="S271" s="16">
        <v>2859</v>
      </c>
      <c r="T271" s="16"/>
      <c r="U271" s="16">
        <v>0</v>
      </c>
      <c r="V271" s="16"/>
      <c r="W271" s="16">
        <v>0</v>
      </c>
      <c r="X271" s="16"/>
      <c r="Y271" s="16">
        <v>64138</v>
      </c>
      <c r="Z271" s="16"/>
      <c r="AA271" s="16">
        <v>0</v>
      </c>
      <c r="AB271" s="16"/>
      <c r="AC271" s="16">
        <v>0</v>
      </c>
      <c r="AD271" s="16"/>
      <c r="AE271" s="16">
        <f t="shared" si="8"/>
        <v>397473</v>
      </c>
    </row>
    <row r="272" spans="1:31" ht="12.75" customHeight="1">
      <c r="A272" s="1" t="s">
        <v>600</v>
      </c>
      <c r="C272" s="1" t="s">
        <v>69</v>
      </c>
      <c r="E272" s="16">
        <v>17451</v>
      </c>
      <c r="F272" s="16"/>
      <c r="G272" s="16">
        <v>0</v>
      </c>
      <c r="H272" s="16"/>
      <c r="I272" s="16">
        <v>43915</v>
      </c>
      <c r="J272" s="16"/>
      <c r="K272" s="16">
        <v>0</v>
      </c>
      <c r="L272" s="16"/>
      <c r="M272" s="16">
        <v>111735</v>
      </c>
      <c r="N272" s="16"/>
      <c r="O272" s="16">
        <v>0</v>
      </c>
      <c r="P272" s="16"/>
      <c r="Q272" s="16">
        <v>101</v>
      </c>
      <c r="R272" s="16"/>
      <c r="S272" s="16">
        <v>25534</v>
      </c>
      <c r="T272" s="16"/>
      <c r="U272" s="16">
        <v>0</v>
      </c>
      <c r="V272" s="16"/>
      <c r="W272" s="16">
        <v>0</v>
      </c>
      <c r="X272" s="16"/>
      <c r="Y272" s="16">
        <v>0</v>
      </c>
      <c r="Z272" s="16"/>
      <c r="AA272" s="16">
        <v>0</v>
      </c>
      <c r="AB272" s="16"/>
      <c r="AC272" s="16">
        <v>0</v>
      </c>
      <c r="AD272" s="16"/>
      <c r="AE272" s="16">
        <f t="shared" si="8"/>
        <v>198736</v>
      </c>
    </row>
    <row r="273" spans="1:31" ht="12.75" customHeight="1">
      <c r="A273" s="1" t="s">
        <v>253</v>
      </c>
      <c r="B273" s="1"/>
      <c r="C273" s="1" t="s">
        <v>78</v>
      </c>
      <c r="E273" s="16">
        <v>915</v>
      </c>
      <c r="F273" s="16"/>
      <c r="G273" s="16">
        <v>0</v>
      </c>
      <c r="H273" s="16"/>
      <c r="I273" s="16">
        <v>37260</v>
      </c>
      <c r="J273" s="16"/>
      <c r="K273" s="16">
        <v>0</v>
      </c>
      <c r="L273" s="16"/>
      <c r="M273" s="16">
        <v>0</v>
      </c>
      <c r="N273" s="16"/>
      <c r="O273" s="16">
        <v>0</v>
      </c>
      <c r="P273" s="16"/>
      <c r="Q273" s="16">
        <v>769</v>
      </c>
      <c r="R273" s="16"/>
      <c r="S273" s="16">
        <v>0</v>
      </c>
      <c r="T273" s="16"/>
      <c r="U273" s="16">
        <v>0</v>
      </c>
      <c r="V273" s="16"/>
      <c r="W273" s="16">
        <v>0</v>
      </c>
      <c r="X273" s="16"/>
      <c r="Y273" s="16">
        <v>0</v>
      </c>
      <c r="Z273" s="16"/>
      <c r="AA273" s="16">
        <v>0</v>
      </c>
      <c r="AB273" s="16"/>
      <c r="AC273" s="16">
        <v>0</v>
      </c>
      <c r="AD273" s="16"/>
      <c r="AE273" s="16">
        <f t="shared" si="8"/>
        <v>38944</v>
      </c>
    </row>
    <row r="274" spans="1:31" ht="12.75" customHeight="1">
      <c r="A274" s="1" t="s">
        <v>728</v>
      </c>
      <c r="C274" s="1" t="s">
        <v>131</v>
      </c>
      <c r="E274" s="16">
        <v>112049</v>
      </c>
      <c r="F274" s="16"/>
      <c r="G274" s="16">
        <v>796</v>
      </c>
      <c r="H274" s="16"/>
      <c r="I274" s="16">
        <v>240707</v>
      </c>
      <c r="J274" s="16"/>
      <c r="K274" s="16">
        <v>0</v>
      </c>
      <c r="L274" s="16"/>
      <c r="M274" s="16">
        <v>381741</v>
      </c>
      <c r="N274" s="16"/>
      <c r="O274" s="16">
        <v>16127</v>
      </c>
      <c r="P274" s="16"/>
      <c r="Q274" s="16">
        <v>29983</v>
      </c>
      <c r="R274" s="16"/>
      <c r="S274" s="16">
        <v>8621</v>
      </c>
      <c r="T274" s="16"/>
      <c r="U274" s="16">
        <v>0</v>
      </c>
      <c r="V274" s="16"/>
      <c r="W274" s="16">
        <v>0</v>
      </c>
      <c r="X274" s="16"/>
      <c r="Y274" s="16">
        <v>856177</v>
      </c>
      <c r="Z274" s="16"/>
      <c r="AA274" s="16">
        <v>0</v>
      </c>
      <c r="AB274" s="16"/>
      <c r="AC274" s="16">
        <v>0</v>
      </c>
      <c r="AD274" s="16"/>
      <c r="AE274" s="16">
        <f t="shared" si="8"/>
        <v>1646201</v>
      </c>
    </row>
    <row r="275" spans="1:31" ht="12.75" customHeight="1">
      <c r="A275" s="1" t="s">
        <v>254</v>
      </c>
      <c r="B275" s="1"/>
      <c r="C275" s="1" t="s">
        <v>71</v>
      </c>
      <c r="D275" s="16"/>
      <c r="E275" s="16">
        <v>41784</v>
      </c>
      <c r="F275" s="16"/>
      <c r="G275" s="16">
        <v>0</v>
      </c>
      <c r="H275" s="16"/>
      <c r="I275" s="16">
        <v>51245</v>
      </c>
      <c r="J275" s="16"/>
      <c r="K275" s="16">
        <v>0</v>
      </c>
      <c r="L275" s="16"/>
      <c r="M275" s="16">
        <v>15200</v>
      </c>
      <c r="N275" s="16"/>
      <c r="O275" s="16">
        <v>7326</v>
      </c>
      <c r="P275" s="16"/>
      <c r="Q275" s="16">
        <v>226</v>
      </c>
      <c r="R275" s="16"/>
      <c r="S275" s="16">
        <v>22617</v>
      </c>
      <c r="T275" s="16"/>
      <c r="U275" s="16">
        <v>0</v>
      </c>
      <c r="V275" s="16"/>
      <c r="W275" s="16">
        <v>0</v>
      </c>
      <c r="X275" s="16"/>
      <c r="Y275" s="16">
        <v>5294</v>
      </c>
      <c r="Z275" s="16"/>
      <c r="AA275" s="16">
        <v>0</v>
      </c>
      <c r="AB275" s="16"/>
      <c r="AC275" s="16">
        <v>4794</v>
      </c>
      <c r="AD275" s="16"/>
      <c r="AE275" s="16">
        <f t="shared" si="8"/>
        <v>148486</v>
      </c>
    </row>
    <row r="276" spans="1:31" ht="12.75" customHeight="1">
      <c r="A276" s="1" t="s">
        <v>555</v>
      </c>
      <c r="C276" s="1" t="s">
        <v>157</v>
      </c>
      <c r="E276" s="16">
        <v>285843</v>
      </c>
      <c r="F276" s="16"/>
      <c r="G276" s="16">
        <v>126405</v>
      </c>
      <c r="H276" s="16"/>
      <c r="I276" s="16">
        <v>165385</v>
      </c>
      <c r="J276" s="16"/>
      <c r="K276" s="16">
        <v>100</v>
      </c>
      <c r="L276" s="16"/>
      <c r="M276" s="16">
        <v>14420</v>
      </c>
      <c r="N276" s="16"/>
      <c r="O276" s="16">
        <v>2898</v>
      </c>
      <c r="P276" s="16"/>
      <c r="Q276" s="16">
        <v>2973</v>
      </c>
      <c r="R276" s="16"/>
      <c r="S276" s="16">
        <v>2379</v>
      </c>
      <c r="T276" s="16"/>
      <c r="U276" s="16">
        <v>0</v>
      </c>
      <c r="V276" s="16"/>
      <c r="W276" s="16">
        <v>0</v>
      </c>
      <c r="X276" s="16"/>
      <c r="Y276" s="16">
        <v>100000</v>
      </c>
      <c r="Z276" s="16"/>
      <c r="AA276" s="16">
        <v>0</v>
      </c>
      <c r="AB276" s="16"/>
      <c r="AC276" s="16">
        <v>7810</v>
      </c>
      <c r="AD276" s="16"/>
      <c r="AE276" s="16">
        <f t="shared" si="8"/>
        <v>708213</v>
      </c>
    </row>
    <row r="277" spans="1:31" ht="12.75" customHeight="1">
      <c r="A277" s="1" t="s">
        <v>255</v>
      </c>
      <c r="B277" s="1"/>
      <c r="C277" s="1" t="s">
        <v>76</v>
      </c>
      <c r="D277" s="16"/>
      <c r="E277" s="16">
        <v>1431011</v>
      </c>
      <c r="F277" s="16"/>
      <c r="G277" s="16">
        <v>0</v>
      </c>
      <c r="H277" s="16"/>
      <c r="I277" s="16">
        <v>344142</v>
      </c>
      <c r="J277" s="16"/>
      <c r="K277" s="16">
        <v>6384</v>
      </c>
      <c r="L277" s="16"/>
      <c r="M277" s="16">
        <v>206617</v>
      </c>
      <c r="N277" s="16"/>
      <c r="O277" s="16">
        <v>23316</v>
      </c>
      <c r="P277" s="16"/>
      <c r="Q277" s="16">
        <v>4473</v>
      </c>
      <c r="R277" s="16"/>
      <c r="S277" s="16">
        <v>44334</v>
      </c>
      <c r="T277" s="16"/>
      <c r="U277" s="16">
        <v>0</v>
      </c>
      <c r="V277" s="16"/>
      <c r="W277" s="16">
        <v>0</v>
      </c>
      <c r="X277" s="16"/>
      <c r="Y277" s="16">
        <v>453653</v>
      </c>
      <c r="Z277" s="16"/>
      <c r="AA277" s="16">
        <v>0</v>
      </c>
      <c r="AB277" s="16"/>
      <c r="AC277" s="16">
        <v>0</v>
      </c>
      <c r="AD277" s="16"/>
      <c r="AE277" s="16">
        <f t="shared" si="8"/>
        <v>2513930</v>
      </c>
    </row>
    <row r="278" spans="1:31" ht="12.75" customHeight="1">
      <c r="A278" s="1" t="s">
        <v>538</v>
      </c>
      <c r="C278" s="1" t="s">
        <v>200</v>
      </c>
      <c r="E278" s="16">
        <v>192670</v>
      </c>
      <c r="F278" s="16"/>
      <c r="G278" s="16">
        <v>248762</v>
      </c>
      <c r="H278" s="16"/>
      <c r="I278" s="16">
        <v>69547</v>
      </c>
      <c r="J278" s="16"/>
      <c r="K278" s="16">
        <v>0</v>
      </c>
      <c r="L278" s="16"/>
      <c r="M278" s="16">
        <v>27739</v>
      </c>
      <c r="N278" s="16"/>
      <c r="O278" s="16">
        <v>5635</v>
      </c>
      <c r="P278" s="16"/>
      <c r="Q278" s="16">
        <v>557</v>
      </c>
      <c r="R278" s="16"/>
      <c r="S278" s="16">
        <v>154483</v>
      </c>
      <c r="T278" s="16"/>
      <c r="U278" s="16">
        <v>0</v>
      </c>
      <c r="V278" s="16"/>
      <c r="W278" s="16">
        <v>0</v>
      </c>
      <c r="X278" s="16"/>
      <c r="Y278" s="16">
        <v>0</v>
      </c>
      <c r="Z278" s="16"/>
      <c r="AA278" s="16">
        <v>0</v>
      </c>
      <c r="AB278" s="16"/>
      <c r="AC278" s="16">
        <v>0</v>
      </c>
      <c r="AD278" s="16"/>
      <c r="AE278" s="16">
        <f t="shared" si="8"/>
        <v>699393</v>
      </c>
    </row>
    <row r="279" spans="1:31" ht="12.75" customHeight="1">
      <c r="A279" s="1" t="s">
        <v>256</v>
      </c>
      <c r="B279" s="1"/>
      <c r="C279" s="1" t="s">
        <v>114</v>
      </c>
      <c r="E279" s="16">
        <v>8408</v>
      </c>
      <c r="F279" s="16"/>
      <c r="G279" s="16">
        <v>0</v>
      </c>
      <c r="H279" s="16"/>
      <c r="I279" s="16">
        <f>63544+8719+707</f>
        <v>72970</v>
      </c>
      <c r="J279" s="16"/>
      <c r="K279" s="16">
        <v>0</v>
      </c>
      <c r="L279" s="16"/>
      <c r="M279" s="16">
        <v>5730</v>
      </c>
      <c r="N279" s="16"/>
      <c r="O279" s="16">
        <v>106</v>
      </c>
      <c r="P279" s="16"/>
      <c r="Q279" s="16">
        <f>232</f>
        <v>232</v>
      </c>
      <c r="R279" s="16"/>
      <c r="S279" s="16">
        <v>2076</v>
      </c>
      <c r="T279" s="16"/>
      <c r="U279" s="16">
        <v>0</v>
      </c>
      <c r="V279" s="16"/>
      <c r="W279" s="16">
        <v>0</v>
      </c>
      <c r="X279" s="16"/>
      <c r="Y279" s="16">
        <v>0</v>
      </c>
      <c r="Z279" s="16"/>
      <c r="AA279" s="16">
        <v>0</v>
      </c>
      <c r="AB279" s="16"/>
      <c r="AC279" s="16">
        <v>4909</v>
      </c>
      <c r="AD279" s="16"/>
      <c r="AE279" s="16">
        <f t="shared" si="8"/>
        <v>94431</v>
      </c>
    </row>
    <row r="280" spans="1:31" ht="12.75" customHeight="1">
      <c r="A280" s="1" t="s">
        <v>257</v>
      </c>
      <c r="B280" s="1"/>
      <c r="C280" s="30" t="s">
        <v>92</v>
      </c>
      <c r="D280" s="16"/>
      <c r="E280" s="16">
        <v>13843</v>
      </c>
      <c r="F280" s="16"/>
      <c r="G280" s="16">
        <v>0</v>
      </c>
      <c r="H280" s="16"/>
      <c r="I280" s="16">
        <v>257474</v>
      </c>
      <c r="J280" s="16"/>
      <c r="K280" s="16">
        <v>2509</v>
      </c>
      <c r="L280" s="16"/>
      <c r="M280" s="16">
        <v>9400</v>
      </c>
      <c r="N280" s="16"/>
      <c r="O280" s="16">
        <v>50</v>
      </c>
      <c r="P280" s="16"/>
      <c r="Q280" s="16">
        <v>814</v>
      </c>
      <c r="R280" s="16"/>
      <c r="S280" s="16">
        <v>262</v>
      </c>
      <c r="T280" s="16"/>
      <c r="U280" s="16">
        <v>0</v>
      </c>
      <c r="V280" s="16"/>
      <c r="W280" s="16">
        <v>0</v>
      </c>
      <c r="X280" s="16"/>
      <c r="Y280" s="16">
        <v>59</v>
      </c>
      <c r="Z280" s="16"/>
      <c r="AA280" s="16">
        <v>0</v>
      </c>
      <c r="AB280" s="16"/>
      <c r="AC280" s="16">
        <v>0</v>
      </c>
      <c r="AD280" s="16"/>
      <c r="AE280" s="16">
        <f t="shared" si="8"/>
        <v>284411</v>
      </c>
    </row>
    <row r="281" spans="1:31" ht="12.75" customHeight="1">
      <c r="A281" s="1" t="s">
        <v>258</v>
      </c>
      <c r="B281" s="1"/>
      <c r="C281" s="1" t="s">
        <v>94</v>
      </c>
      <c r="E281" s="16">
        <v>52778</v>
      </c>
      <c r="F281" s="16"/>
      <c r="G281" s="16">
        <v>0</v>
      </c>
      <c r="H281" s="16"/>
      <c r="I281" s="16">
        <f>21342+539445</f>
        <v>560787</v>
      </c>
      <c r="J281" s="16"/>
      <c r="K281" s="16">
        <v>0</v>
      </c>
      <c r="L281" s="16"/>
      <c r="M281" s="16">
        <v>0</v>
      </c>
      <c r="N281" s="16"/>
      <c r="O281" s="16">
        <v>11291</v>
      </c>
      <c r="P281" s="16"/>
      <c r="Q281" s="16">
        <v>0</v>
      </c>
      <c r="R281" s="16"/>
      <c r="S281" s="16">
        <v>0</v>
      </c>
      <c r="T281" s="16"/>
      <c r="U281" s="16">
        <v>0</v>
      </c>
      <c r="V281" s="16"/>
      <c r="W281" s="16">
        <v>0</v>
      </c>
      <c r="X281" s="16"/>
      <c r="Y281" s="16">
        <v>0</v>
      </c>
      <c r="Z281" s="16"/>
      <c r="AA281" s="16">
        <v>0</v>
      </c>
      <c r="AB281" s="16"/>
      <c r="AC281" s="16">
        <v>0</v>
      </c>
      <c r="AD281" s="16"/>
      <c r="AE281" s="16">
        <f t="shared" si="8"/>
        <v>624856</v>
      </c>
    </row>
    <row r="282" spans="1:31" ht="12.75" customHeight="1">
      <c r="A282" s="1" t="s">
        <v>581</v>
      </c>
      <c r="C282" s="1" t="s">
        <v>133</v>
      </c>
      <c r="E282" s="16">
        <v>82633</v>
      </c>
      <c r="F282" s="16"/>
      <c r="G282" s="16">
        <v>10929</v>
      </c>
      <c r="H282" s="16"/>
      <c r="I282" s="16">
        <v>101784</v>
      </c>
      <c r="J282" s="16"/>
      <c r="K282" s="16">
        <v>0</v>
      </c>
      <c r="L282" s="16"/>
      <c r="M282" s="16">
        <v>0</v>
      </c>
      <c r="N282" s="16"/>
      <c r="O282" s="16">
        <v>1426</v>
      </c>
      <c r="P282" s="16"/>
      <c r="Q282" s="16">
        <v>246</v>
      </c>
      <c r="R282" s="16"/>
      <c r="S282" s="16">
        <v>81905</v>
      </c>
      <c r="T282" s="16"/>
      <c r="U282" s="16">
        <v>0</v>
      </c>
      <c r="V282" s="16"/>
      <c r="W282" s="16">
        <v>0</v>
      </c>
      <c r="X282" s="16"/>
      <c r="Y282" s="16">
        <v>4312</v>
      </c>
      <c r="Z282" s="16"/>
      <c r="AA282" s="16">
        <v>37038</v>
      </c>
      <c r="AB282" s="16"/>
      <c r="AC282" s="16">
        <v>5809</v>
      </c>
      <c r="AD282" s="16"/>
      <c r="AE282" s="16">
        <f t="shared" si="8"/>
        <v>326082</v>
      </c>
    </row>
    <row r="283" spans="1:31" ht="12.75" customHeight="1">
      <c r="A283" s="1" t="s">
        <v>614</v>
      </c>
      <c r="C283" s="1" t="s">
        <v>231</v>
      </c>
      <c r="E283" s="16">
        <v>165666</v>
      </c>
      <c r="F283" s="16"/>
      <c r="G283" s="16">
        <v>893524</v>
      </c>
      <c r="H283" s="16"/>
      <c r="I283" s="16">
        <v>365317</v>
      </c>
      <c r="J283" s="16"/>
      <c r="K283" s="16">
        <v>0</v>
      </c>
      <c r="L283" s="16"/>
      <c r="M283" s="16">
        <v>12553</v>
      </c>
      <c r="N283" s="16"/>
      <c r="O283" s="16">
        <v>210205</v>
      </c>
      <c r="P283" s="16"/>
      <c r="Q283" s="16">
        <v>47886</v>
      </c>
      <c r="R283" s="16"/>
      <c r="S283" s="16">
        <v>60332</v>
      </c>
      <c r="T283" s="16"/>
      <c r="U283" s="16">
        <v>0</v>
      </c>
      <c r="V283" s="16"/>
      <c r="W283" s="16">
        <v>0</v>
      </c>
      <c r="X283" s="16"/>
      <c r="Y283" s="16">
        <v>240077</v>
      </c>
      <c r="Z283" s="16"/>
      <c r="AA283" s="16">
        <v>0</v>
      </c>
      <c r="AB283" s="16"/>
      <c r="AC283" s="16">
        <v>800</v>
      </c>
      <c r="AD283" s="16"/>
      <c r="AE283" s="16">
        <f t="shared" si="8"/>
        <v>1996360</v>
      </c>
    </row>
    <row r="284" spans="1:31" ht="12.75" customHeight="1">
      <c r="A284" s="1" t="s">
        <v>259</v>
      </c>
      <c r="B284" s="1"/>
      <c r="C284" s="1" t="s">
        <v>179</v>
      </c>
      <c r="D284" s="16"/>
      <c r="E284" s="16">
        <v>30242</v>
      </c>
      <c r="F284" s="16"/>
      <c r="G284" s="16">
        <v>0</v>
      </c>
      <c r="H284" s="16"/>
      <c r="I284" s="16">
        <v>65758</v>
      </c>
      <c r="J284" s="16"/>
      <c r="K284" s="16">
        <v>0</v>
      </c>
      <c r="L284" s="16"/>
      <c r="M284" s="16">
        <v>134874</v>
      </c>
      <c r="N284" s="16"/>
      <c r="O284" s="16">
        <v>330</v>
      </c>
      <c r="P284" s="16"/>
      <c r="Q284" s="16">
        <v>8984</v>
      </c>
      <c r="R284" s="16"/>
      <c r="S284" s="16">
        <v>50006</v>
      </c>
      <c r="T284" s="16"/>
      <c r="U284" s="16">
        <v>0</v>
      </c>
      <c r="V284" s="16"/>
      <c r="W284" s="16">
        <v>0</v>
      </c>
      <c r="X284" s="16"/>
      <c r="Y284" s="16">
        <v>0</v>
      </c>
      <c r="Z284" s="16"/>
      <c r="AA284" s="16">
        <v>0</v>
      </c>
      <c r="AB284" s="16"/>
      <c r="AC284" s="16">
        <v>0</v>
      </c>
      <c r="AD284" s="16"/>
      <c r="AE284" s="16">
        <f t="shared" si="8"/>
        <v>290194</v>
      </c>
    </row>
    <row r="285" spans="1:31" ht="12.75" customHeight="1">
      <c r="A285" s="1" t="s">
        <v>706</v>
      </c>
      <c r="C285" s="1" t="s">
        <v>110</v>
      </c>
      <c r="E285" s="16">
        <v>67986</v>
      </c>
      <c r="F285" s="16"/>
      <c r="G285" s="16">
        <v>141354</v>
      </c>
      <c r="H285" s="16"/>
      <c r="I285" s="16">
        <v>132397</v>
      </c>
      <c r="J285" s="16"/>
      <c r="K285" s="16">
        <v>13720</v>
      </c>
      <c r="L285" s="16"/>
      <c r="M285" s="16">
        <v>56713</v>
      </c>
      <c r="N285" s="16"/>
      <c r="O285" s="16">
        <v>9300</v>
      </c>
      <c r="P285" s="16"/>
      <c r="Q285" s="16">
        <v>18611</v>
      </c>
      <c r="R285" s="16"/>
      <c r="S285" s="16">
        <v>9745</v>
      </c>
      <c r="T285" s="16"/>
      <c r="U285" s="16">
        <v>0</v>
      </c>
      <c r="V285" s="16"/>
      <c r="W285" s="16">
        <v>0</v>
      </c>
      <c r="X285" s="16"/>
      <c r="Y285" s="16">
        <v>2627</v>
      </c>
      <c r="Z285" s="16"/>
      <c r="AA285" s="16">
        <v>1000</v>
      </c>
      <c r="AB285" s="16"/>
      <c r="AC285" s="16">
        <v>0</v>
      </c>
      <c r="AD285" s="16"/>
      <c r="AE285" s="16">
        <f t="shared" si="8"/>
        <v>453453</v>
      </c>
    </row>
    <row r="286" spans="1:31" ht="12.75" customHeight="1">
      <c r="A286" s="1" t="s">
        <v>260</v>
      </c>
      <c r="B286" s="1"/>
      <c r="C286" s="1" t="s">
        <v>261</v>
      </c>
      <c r="E286" s="16">
        <v>580436</v>
      </c>
      <c r="F286" s="16"/>
      <c r="G286" s="16">
        <v>0</v>
      </c>
      <c r="H286" s="16"/>
      <c r="I286" s="16">
        <v>301142</v>
      </c>
      <c r="J286" s="16"/>
      <c r="K286" s="16">
        <v>1183</v>
      </c>
      <c r="L286" s="16"/>
      <c r="M286" s="16">
        <v>19100</v>
      </c>
      <c r="N286" s="16"/>
      <c r="O286" s="16">
        <v>80935</v>
      </c>
      <c r="P286" s="16"/>
      <c r="Q286" s="16">
        <v>11777</v>
      </c>
      <c r="R286" s="16"/>
      <c r="S286" s="16">
        <v>24514</v>
      </c>
      <c r="T286" s="16"/>
      <c r="U286" s="16">
        <v>0</v>
      </c>
      <c r="V286" s="16"/>
      <c r="W286" s="16">
        <v>0</v>
      </c>
      <c r="X286" s="16"/>
      <c r="Y286" s="16">
        <v>398</v>
      </c>
      <c r="Z286" s="16"/>
      <c r="AA286" s="16">
        <v>20000</v>
      </c>
      <c r="AB286" s="16"/>
      <c r="AC286" s="16">
        <v>0</v>
      </c>
      <c r="AD286" s="16"/>
      <c r="AE286" s="16">
        <f t="shared" si="8"/>
        <v>1039485</v>
      </c>
    </row>
    <row r="287" spans="1:31" ht="12.75" customHeight="1">
      <c r="A287" s="1" t="s">
        <v>262</v>
      </c>
      <c r="B287" s="1"/>
      <c r="C287" s="1" t="s">
        <v>131</v>
      </c>
      <c r="D287" s="16"/>
      <c r="E287" s="16">
        <v>7129</v>
      </c>
      <c r="F287" s="16"/>
      <c r="G287" s="16">
        <v>0</v>
      </c>
      <c r="H287" s="16"/>
      <c r="I287" s="16">
        <v>18945</v>
      </c>
      <c r="J287" s="16"/>
      <c r="K287" s="16">
        <v>0</v>
      </c>
      <c r="L287" s="16"/>
      <c r="M287" s="16">
        <v>0</v>
      </c>
      <c r="N287" s="16"/>
      <c r="O287" s="16">
        <v>683</v>
      </c>
      <c r="P287" s="16"/>
      <c r="Q287" s="16">
        <v>326</v>
      </c>
      <c r="R287" s="16"/>
      <c r="S287" s="16">
        <v>8448</v>
      </c>
      <c r="T287" s="16"/>
      <c r="U287" s="16">
        <v>0</v>
      </c>
      <c r="V287" s="16"/>
      <c r="W287" s="16">
        <v>0</v>
      </c>
      <c r="X287" s="16"/>
      <c r="Y287" s="16">
        <v>0</v>
      </c>
      <c r="Z287" s="16"/>
      <c r="AA287" s="16">
        <v>0</v>
      </c>
      <c r="AB287" s="16"/>
      <c r="AC287" s="16">
        <v>30</v>
      </c>
      <c r="AD287" s="16"/>
      <c r="AE287" s="16">
        <f t="shared" si="8"/>
        <v>35561</v>
      </c>
    </row>
    <row r="288" spans="1:31" ht="12.75" customHeight="1">
      <c r="A288" s="1" t="s">
        <v>263</v>
      </c>
      <c r="B288" s="1"/>
      <c r="C288" s="1" t="s">
        <v>221</v>
      </c>
      <c r="E288" s="16">
        <v>71765</v>
      </c>
      <c r="F288" s="16"/>
      <c r="G288" s="16">
        <v>0</v>
      </c>
      <c r="H288" s="16"/>
      <c r="I288" s="16">
        <v>60543</v>
      </c>
      <c r="J288" s="16"/>
      <c r="K288" s="16">
        <v>0</v>
      </c>
      <c r="L288" s="16"/>
      <c r="M288" s="16">
        <v>4339</v>
      </c>
      <c r="N288" s="16"/>
      <c r="O288" s="16">
        <v>311</v>
      </c>
      <c r="P288" s="16"/>
      <c r="Q288" s="16">
        <v>4611</v>
      </c>
      <c r="R288" s="16"/>
      <c r="S288" s="16">
        <v>30722</v>
      </c>
      <c r="T288" s="16"/>
      <c r="U288" s="16">
        <v>0</v>
      </c>
      <c r="V288" s="16"/>
      <c r="W288" s="16">
        <v>0</v>
      </c>
      <c r="X288" s="16"/>
      <c r="Y288" s="16">
        <v>1918</v>
      </c>
      <c r="Z288" s="16"/>
      <c r="AA288" s="16">
        <v>0</v>
      </c>
      <c r="AB288" s="16"/>
      <c r="AC288" s="16">
        <v>0</v>
      </c>
      <c r="AD288" s="16"/>
      <c r="AE288" s="16">
        <f t="shared" si="8"/>
        <v>174209</v>
      </c>
    </row>
    <row r="289" spans="1:31" ht="12.75" customHeight="1">
      <c r="A289" s="1" t="s">
        <v>264</v>
      </c>
      <c r="B289" s="1"/>
      <c r="C289" s="1" t="s">
        <v>199</v>
      </c>
      <c r="D289" s="16"/>
      <c r="E289" s="16">
        <v>19240</v>
      </c>
      <c r="F289" s="16"/>
      <c r="G289" s="16">
        <v>0</v>
      </c>
      <c r="H289" s="16"/>
      <c r="I289" s="16">
        <v>0</v>
      </c>
      <c r="J289" s="16"/>
      <c r="K289" s="16">
        <v>0</v>
      </c>
      <c r="L289" s="16"/>
      <c r="M289" s="16">
        <v>0</v>
      </c>
      <c r="N289" s="16"/>
      <c r="O289" s="16">
        <v>0</v>
      </c>
      <c r="P289" s="16"/>
      <c r="Q289" s="16">
        <v>134</v>
      </c>
      <c r="R289" s="16"/>
      <c r="S289" s="16">
        <v>0</v>
      </c>
      <c r="T289" s="16"/>
      <c r="U289" s="16">
        <v>0</v>
      </c>
      <c r="V289" s="16"/>
      <c r="W289" s="16">
        <v>64656</v>
      </c>
      <c r="X289" s="16"/>
      <c r="Y289" s="16">
        <v>0</v>
      </c>
      <c r="Z289" s="16"/>
      <c r="AA289" s="16">
        <v>0</v>
      </c>
      <c r="AB289" s="16"/>
      <c r="AC289" s="16">
        <v>0</v>
      </c>
      <c r="AD289" s="16"/>
      <c r="AE289" s="16">
        <f t="shared" si="8"/>
        <v>84030</v>
      </c>
    </row>
    <row r="290" spans="1:31" ht="12.75" customHeight="1">
      <c r="A290" s="1" t="s">
        <v>716</v>
      </c>
      <c r="C290" s="1" t="s">
        <v>712</v>
      </c>
      <c r="E290" s="16">
        <v>15872</v>
      </c>
      <c r="F290" s="16"/>
      <c r="G290" s="16">
        <v>0</v>
      </c>
      <c r="H290" s="16"/>
      <c r="I290" s="16">
        <v>122311</v>
      </c>
      <c r="J290" s="16"/>
      <c r="K290" s="16">
        <v>0</v>
      </c>
      <c r="L290" s="16"/>
      <c r="M290" s="16">
        <v>0</v>
      </c>
      <c r="N290" s="16"/>
      <c r="O290" s="16">
        <v>450</v>
      </c>
      <c r="P290" s="16"/>
      <c r="Q290" s="16">
        <v>20889</v>
      </c>
      <c r="R290" s="16"/>
      <c r="S290" s="16">
        <v>7028</v>
      </c>
      <c r="T290" s="16"/>
      <c r="U290" s="16">
        <v>0</v>
      </c>
      <c r="V290" s="16"/>
      <c r="W290" s="16">
        <v>0</v>
      </c>
      <c r="X290" s="16"/>
      <c r="Y290" s="16">
        <v>0</v>
      </c>
      <c r="Z290" s="16"/>
      <c r="AA290" s="16">
        <v>0</v>
      </c>
      <c r="AB290" s="16"/>
      <c r="AC290" s="16">
        <v>0</v>
      </c>
      <c r="AD290" s="16"/>
      <c r="AE290" s="16">
        <f t="shared" si="8"/>
        <v>166550</v>
      </c>
    </row>
    <row r="291" spans="1:31" ht="12.75" customHeight="1">
      <c r="A291" s="1" t="s">
        <v>623</v>
      </c>
      <c r="C291" s="1" t="s">
        <v>228</v>
      </c>
      <c r="E291" s="16">
        <v>19401</v>
      </c>
      <c r="F291" s="16"/>
      <c r="G291" s="16">
        <v>0</v>
      </c>
      <c r="H291" s="16"/>
      <c r="I291" s="16">
        <v>32494</v>
      </c>
      <c r="J291" s="16"/>
      <c r="K291" s="16">
        <v>0</v>
      </c>
      <c r="L291" s="16"/>
      <c r="M291" s="16">
        <v>9695</v>
      </c>
      <c r="N291" s="16"/>
      <c r="O291" s="16">
        <v>10401</v>
      </c>
      <c r="P291" s="16"/>
      <c r="Q291" s="16">
        <v>0</v>
      </c>
      <c r="R291" s="16"/>
      <c r="S291" s="16">
        <v>0</v>
      </c>
      <c r="T291" s="16"/>
      <c r="U291" s="16">
        <v>0</v>
      </c>
      <c r="V291" s="16"/>
      <c r="W291" s="16">
        <v>0</v>
      </c>
      <c r="X291" s="16"/>
      <c r="Y291" s="16">
        <v>0</v>
      </c>
      <c r="Z291" s="16"/>
      <c r="AA291" s="16">
        <v>0</v>
      </c>
      <c r="AB291" s="16"/>
      <c r="AC291" s="16">
        <v>0</v>
      </c>
      <c r="AD291" s="16"/>
      <c r="AE291" s="16">
        <f t="shared" si="8"/>
        <v>71991</v>
      </c>
    </row>
    <row r="292" spans="1:31" ht="12.75" customHeight="1">
      <c r="A292" s="1" t="s">
        <v>780</v>
      </c>
      <c r="C292" s="1" t="s">
        <v>151</v>
      </c>
      <c r="E292" s="16">
        <v>745</v>
      </c>
      <c r="F292" s="16"/>
      <c r="G292" s="16">
        <v>13384</v>
      </c>
      <c r="H292" s="16"/>
      <c r="I292" s="16">
        <v>12311</v>
      </c>
      <c r="J292" s="16"/>
      <c r="K292" s="16">
        <v>0</v>
      </c>
      <c r="L292" s="16"/>
      <c r="M292" s="16">
        <v>0</v>
      </c>
      <c r="N292" s="16"/>
      <c r="O292" s="16">
        <v>0</v>
      </c>
      <c r="P292" s="16"/>
      <c r="Q292" s="16">
        <v>1546</v>
      </c>
      <c r="R292" s="16"/>
      <c r="S292" s="16">
        <v>0</v>
      </c>
      <c r="T292" s="16"/>
      <c r="U292" s="16">
        <v>0</v>
      </c>
      <c r="V292" s="16"/>
      <c r="W292" s="16">
        <v>0</v>
      </c>
      <c r="X292" s="16"/>
      <c r="Y292" s="16">
        <v>0</v>
      </c>
      <c r="Z292" s="16"/>
      <c r="AA292" s="16">
        <v>0</v>
      </c>
      <c r="AB292" s="16"/>
      <c r="AC292" s="16">
        <v>0</v>
      </c>
      <c r="AD292" s="16"/>
      <c r="AE292" s="16">
        <f t="shared" si="8"/>
        <v>27986</v>
      </c>
    </row>
    <row r="293" spans="1:31" ht="12.75" customHeight="1">
      <c r="A293" s="1" t="s">
        <v>615</v>
      </c>
      <c r="C293" s="1" t="s">
        <v>231</v>
      </c>
      <c r="E293" s="16">
        <v>55917</v>
      </c>
      <c r="F293" s="16"/>
      <c r="G293" s="16">
        <v>0</v>
      </c>
      <c r="H293" s="16"/>
      <c r="I293" s="16">
        <v>55250</v>
      </c>
      <c r="J293" s="16"/>
      <c r="K293" s="16">
        <v>0</v>
      </c>
      <c r="L293" s="16"/>
      <c r="M293" s="16">
        <v>0</v>
      </c>
      <c r="N293" s="16"/>
      <c r="O293" s="16">
        <v>164263</v>
      </c>
      <c r="P293" s="16"/>
      <c r="Q293" s="16">
        <v>2914</v>
      </c>
      <c r="R293" s="16"/>
      <c r="S293" s="16">
        <v>226847</v>
      </c>
      <c r="T293" s="16"/>
      <c r="U293" s="16">
        <v>0</v>
      </c>
      <c r="V293" s="16"/>
      <c r="W293" s="16">
        <v>0</v>
      </c>
      <c r="X293" s="16"/>
      <c r="Y293" s="16">
        <v>30600</v>
      </c>
      <c r="Z293" s="16"/>
      <c r="AA293" s="16">
        <v>0</v>
      </c>
      <c r="AB293" s="16"/>
      <c r="AC293" s="16">
        <v>0</v>
      </c>
      <c r="AD293" s="16"/>
      <c r="AE293" s="16">
        <f t="shared" si="8"/>
        <v>535791</v>
      </c>
    </row>
    <row r="294" spans="1:31" ht="12.75" customHeight="1">
      <c r="A294" s="1" t="s">
        <v>265</v>
      </c>
      <c r="B294" s="1"/>
      <c r="C294" s="1" t="s">
        <v>197</v>
      </c>
      <c r="D294" s="16"/>
      <c r="E294" s="16">
        <v>730263</v>
      </c>
      <c r="F294" s="16"/>
      <c r="G294" s="16">
        <v>0</v>
      </c>
      <c r="H294" s="16"/>
      <c r="I294" s="16">
        <v>495249</v>
      </c>
      <c r="J294" s="16"/>
      <c r="K294" s="16">
        <v>0</v>
      </c>
      <c r="L294" s="16"/>
      <c r="M294" s="16">
        <v>13517</v>
      </c>
      <c r="N294" s="16"/>
      <c r="O294" s="16">
        <v>116865</v>
      </c>
      <c r="P294" s="16"/>
      <c r="Q294" s="16">
        <v>528066</v>
      </c>
      <c r="R294" s="16"/>
      <c r="S294" s="16">
        <v>47416</v>
      </c>
      <c r="T294" s="16"/>
      <c r="U294" s="16">
        <v>0</v>
      </c>
      <c r="V294" s="16"/>
      <c r="W294" s="16">
        <v>3400</v>
      </c>
      <c r="X294" s="16"/>
      <c r="Y294" s="16">
        <v>130000</v>
      </c>
      <c r="Z294" s="16"/>
      <c r="AA294" s="16">
        <v>0</v>
      </c>
      <c r="AB294" s="16"/>
      <c r="AC294" s="16">
        <v>0</v>
      </c>
      <c r="AD294" s="16"/>
      <c r="AE294" s="16">
        <f t="shared" si="8"/>
        <v>2064776</v>
      </c>
    </row>
    <row r="295" spans="1:31" ht="12.75" customHeight="1">
      <c r="A295" s="1" t="s">
        <v>450</v>
      </c>
      <c r="B295" s="1"/>
      <c r="C295" s="1" t="s">
        <v>447</v>
      </c>
      <c r="E295" s="16">
        <v>33144</v>
      </c>
      <c r="F295" s="16"/>
      <c r="G295" s="16">
        <v>0</v>
      </c>
      <c r="H295" s="16"/>
      <c r="I295" s="16">
        <v>32507</v>
      </c>
      <c r="J295" s="16"/>
      <c r="K295" s="16">
        <v>0</v>
      </c>
      <c r="L295" s="16"/>
      <c r="M295" s="16">
        <v>0</v>
      </c>
      <c r="N295" s="16"/>
      <c r="O295" s="16">
        <v>0</v>
      </c>
      <c r="P295" s="16"/>
      <c r="Q295" s="16">
        <v>316</v>
      </c>
      <c r="R295" s="16"/>
      <c r="S295" s="16">
        <v>3018</v>
      </c>
      <c r="T295" s="16"/>
      <c r="U295" s="16">
        <v>0</v>
      </c>
      <c r="V295" s="16"/>
      <c r="W295" s="16">
        <v>0</v>
      </c>
      <c r="X295" s="16"/>
      <c r="Y295" s="16">
        <v>0</v>
      </c>
      <c r="Z295" s="16"/>
      <c r="AA295" s="16">
        <v>0</v>
      </c>
      <c r="AB295" s="16"/>
      <c r="AC295" s="16">
        <v>251</v>
      </c>
      <c r="AD295" s="16"/>
      <c r="AE295" s="16">
        <f t="shared" si="8"/>
        <v>69236</v>
      </c>
    </row>
    <row r="296" spans="1:31" ht="12.75" customHeight="1">
      <c r="A296" s="1" t="s">
        <v>624</v>
      </c>
      <c r="C296" s="1" t="s">
        <v>228</v>
      </c>
      <c r="E296" s="16">
        <v>164856</v>
      </c>
      <c r="F296" s="16"/>
      <c r="G296" s="16">
        <v>576453</v>
      </c>
      <c r="H296" s="16"/>
      <c r="I296" s="16">
        <v>302908</v>
      </c>
      <c r="J296" s="16"/>
      <c r="K296" s="16">
        <v>4208</v>
      </c>
      <c r="L296" s="16"/>
      <c r="M296" s="16">
        <v>79350</v>
      </c>
      <c r="N296" s="16"/>
      <c r="O296" s="16">
        <v>139837</v>
      </c>
      <c r="P296" s="16"/>
      <c r="Q296" s="16">
        <v>31114</v>
      </c>
      <c r="R296" s="16"/>
      <c r="S296" s="16">
        <v>22292</v>
      </c>
      <c r="T296" s="16"/>
      <c r="U296" s="16">
        <v>0</v>
      </c>
      <c r="V296" s="16"/>
      <c r="W296" s="16">
        <v>1500</v>
      </c>
      <c r="X296" s="16"/>
      <c r="Y296" s="16">
        <v>73263</v>
      </c>
      <c r="Z296" s="16"/>
      <c r="AA296" s="16">
        <v>0</v>
      </c>
      <c r="AB296" s="16"/>
      <c r="AC296" s="16">
        <v>0</v>
      </c>
      <c r="AD296" s="16"/>
      <c r="AE296" s="16">
        <f t="shared" si="8"/>
        <v>1395781</v>
      </c>
    </row>
    <row r="297" spans="1:31" ht="12.75" customHeight="1">
      <c r="A297" s="1" t="s">
        <v>266</v>
      </c>
      <c r="B297" s="1"/>
      <c r="C297" s="1" t="s">
        <v>197</v>
      </c>
      <c r="D297" s="16"/>
      <c r="E297" s="16">
        <v>15522</v>
      </c>
      <c r="F297" s="16"/>
      <c r="G297" s="16">
        <v>0</v>
      </c>
      <c r="H297" s="16"/>
      <c r="I297" s="16">
        <f>34824+21565+1748</f>
        <v>58137</v>
      </c>
      <c r="J297" s="16"/>
      <c r="K297" s="16">
        <v>0</v>
      </c>
      <c r="L297" s="16"/>
      <c r="M297" s="16">
        <v>0</v>
      </c>
      <c r="N297" s="16"/>
      <c r="O297" s="16">
        <v>1067</v>
      </c>
      <c r="P297" s="16"/>
      <c r="Q297" s="16">
        <v>2704</v>
      </c>
      <c r="R297" s="16"/>
      <c r="S297" s="16">
        <v>1771</v>
      </c>
      <c r="T297" s="16"/>
      <c r="U297" s="16">
        <v>0</v>
      </c>
      <c r="V297" s="16"/>
      <c r="W297" s="16">
        <v>0</v>
      </c>
      <c r="X297" s="16"/>
      <c r="Y297" s="16">
        <v>0</v>
      </c>
      <c r="Z297" s="16"/>
      <c r="AA297" s="16">
        <v>0</v>
      </c>
      <c r="AB297" s="16"/>
      <c r="AC297" s="16">
        <v>0</v>
      </c>
      <c r="AD297" s="16"/>
      <c r="AE297" s="16">
        <f t="shared" si="8"/>
        <v>79201</v>
      </c>
    </row>
    <row r="298" spans="1:31" ht="12.75" customHeight="1">
      <c r="A298" s="1" t="s">
        <v>619</v>
      </c>
      <c r="C298" s="1" t="s">
        <v>369</v>
      </c>
      <c r="E298" s="16">
        <v>34804</v>
      </c>
      <c r="F298" s="16"/>
      <c r="G298" s="16">
        <v>149364</v>
      </c>
      <c r="H298" s="16"/>
      <c r="I298" s="16">
        <v>106918</v>
      </c>
      <c r="J298" s="16"/>
      <c r="K298" s="16">
        <v>0</v>
      </c>
      <c r="L298" s="16"/>
      <c r="M298" s="16">
        <v>108032</v>
      </c>
      <c r="N298" s="16"/>
      <c r="O298" s="16">
        <v>19927</v>
      </c>
      <c r="P298" s="16"/>
      <c r="Q298" s="16">
        <v>23018</v>
      </c>
      <c r="R298" s="16"/>
      <c r="S298" s="16">
        <v>606619</v>
      </c>
      <c r="T298" s="16"/>
      <c r="U298" s="16">
        <v>0</v>
      </c>
      <c r="V298" s="16"/>
      <c r="W298" s="16">
        <v>0</v>
      </c>
      <c r="X298" s="16"/>
      <c r="Y298" s="16">
        <v>0</v>
      </c>
      <c r="Z298" s="16"/>
      <c r="AA298" s="16">
        <v>0</v>
      </c>
      <c r="AB298" s="16"/>
      <c r="AC298" s="16">
        <v>0</v>
      </c>
      <c r="AD298" s="16"/>
      <c r="AE298" s="16">
        <f t="shared" si="8"/>
        <v>1048682</v>
      </c>
    </row>
    <row r="299" spans="1:31" ht="12.75" customHeight="1">
      <c r="A299" s="1" t="s">
        <v>267</v>
      </c>
      <c r="B299" s="1"/>
      <c r="C299" s="1" t="s">
        <v>268</v>
      </c>
      <c r="E299" s="16">
        <f>44398+7598</f>
        <v>51996</v>
      </c>
      <c r="F299" s="16"/>
      <c r="G299" s="16">
        <v>0</v>
      </c>
      <c r="H299" s="16"/>
      <c r="I299" s="16">
        <f>37914+28164</f>
        <v>66078</v>
      </c>
      <c r="J299" s="16"/>
      <c r="K299" s="16">
        <v>0</v>
      </c>
      <c r="L299" s="16"/>
      <c r="M299" s="16">
        <f>12294+8640</f>
        <v>20934</v>
      </c>
      <c r="N299" s="16"/>
      <c r="O299" s="16">
        <v>4807</v>
      </c>
      <c r="P299" s="16"/>
      <c r="Q299" s="16">
        <f>9370+2364</f>
        <v>11734</v>
      </c>
      <c r="R299" s="16"/>
      <c r="S299" s="16">
        <f>4306+5842</f>
        <v>10148</v>
      </c>
      <c r="T299" s="16"/>
      <c r="U299" s="16">
        <v>0</v>
      </c>
      <c r="V299" s="16"/>
      <c r="W299" s="16">
        <v>0</v>
      </c>
      <c r="X299" s="16"/>
      <c r="Y299" s="16">
        <v>7887</v>
      </c>
      <c r="Z299" s="16"/>
      <c r="AA299" s="16">
        <v>0</v>
      </c>
      <c r="AB299" s="16"/>
      <c r="AC299" s="16">
        <v>0</v>
      </c>
      <c r="AD299" s="16"/>
      <c r="AE299" s="16">
        <f t="shared" si="8"/>
        <v>173584</v>
      </c>
    </row>
    <row r="300" spans="1:31" ht="12.75" customHeight="1">
      <c r="A300" s="1" t="s">
        <v>680</v>
      </c>
      <c r="C300" s="1" t="s">
        <v>82</v>
      </c>
      <c r="E300" s="16">
        <v>48151</v>
      </c>
      <c r="F300" s="16"/>
      <c r="G300" s="16">
        <v>0</v>
      </c>
      <c r="H300" s="16"/>
      <c r="I300" s="16">
        <v>43370</v>
      </c>
      <c r="J300" s="16"/>
      <c r="K300" s="16">
        <v>0</v>
      </c>
      <c r="L300" s="16"/>
      <c r="M300" s="16">
        <v>0</v>
      </c>
      <c r="N300" s="16"/>
      <c r="O300" s="16">
        <v>0</v>
      </c>
      <c r="P300" s="16"/>
      <c r="Q300" s="16">
        <v>480</v>
      </c>
      <c r="R300" s="16"/>
      <c r="S300" s="16">
        <v>1021</v>
      </c>
      <c r="T300" s="16"/>
      <c r="U300" s="16">
        <v>0</v>
      </c>
      <c r="V300" s="16"/>
      <c r="W300" s="16">
        <v>0</v>
      </c>
      <c r="X300" s="16"/>
      <c r="Y300" s="16">
        <v>20000</v>
      </c>
      <c r="Z300" s="16"/>
      <c r="AA300" s="16">
        <v>12001</v>
      </c>
      <c r="AB300" s="16"/>
      <c r="AC300" s="16">
        <v>0</v>
      </c>
      <c r="AD300" s="16"/>
      <c r="AE300" s="16">
        <f aca="true" t="shared" si="9" ref="AE300:AE331">SUM(E300:AC300)</f>
        <v>125023</v>
      </c>
    </row>
    <row r="301" spans="1:31" ht="12.75" customHeight="1">
      <c r="A301" s="1" t="s">
        <v>655</v>
      </c>
      <c r="C301" s="1" t="s">
        <v>155</v>
      </c>
      <c r="E301" s="16">
        <v>16219</v>
      </c>
      <c r="F301" s="16"/>
      <c r="G301" s="16">
        <v>0</v>
      </c>
      <c r="H301" s="16"/>
      <c r="I301" s="16">
        <v>53144</v>
      </c>
      <c r="J301" s="16"/>
      <c r="K301" s="16">
        <v>5762</v>
      </c>
      <c r="L301" s="16"/>
      <c r="M301" s="16">
        <v>0</v>
      </c>
      <c r="N301" s="16"/>
      <c r="O301" s="16">
        <v>1900</v>
      </c>
      <c r="P301" s="16"/>
      <c r="Q301" s="16">
        <v>0</v>
      </c>
      <c r="R301" s="16"/>
      <c r="S301" s="16">
        <v>7001</v>
      </c>
      <c r="T301" s="16"/>
      <c r="U301" s="16">
        <v>0</v>
      </c>
      <c r="V301" s="16"/>
      <c r="W301" s="16">
        <v>0</v>
      </c>
      <c r="X301" s="16"/>
      <c r="Y301" s="16">
        <v>0</v>
      </c>
      <c r="Z301" s="16"/>
      <c r="AA301" s="16">
        <v>0</v>
      </c>
      <c r="AB301" s="16"/>
      <c r="AC301" s="16">
        <v>0</v>
      </c>
      <c r="AD301" s="16"/>
      <c r="AE301" s="16">
        <f t="shared" si="9"/>
        <v>84026</v>
      </c>
    </row>
    <row r="302" spans="1:31" ht="12.75" customHeight="1">
      <c r="A302" s="1" t="s">
        <v>590</v>
      </c>
      <c r="C302" s="1" t="s">
        <v>591</v>
      </c>
      <c r="E302" s="16">
        <v>47834</v>
      </c>
      <c r="F302" s="16"/>
      <c r="G302" s="16">
        <v>0</v>
      </c>
      <c r="H302" s="16"/>
      <c r="I302" s="16">
        <v>45330</v>
      </c>
      <c r="J302" s="16"/>
      <c r="K302" s="16">
        <v>30019</v>
      </c>
      <c r="L302" s="16"/>
      <c r="M302" s="16">
        <v>130075</v>
      </c>
      <c r="N302" s="16"/>
      <c r="O302" s="16">
        <v>13709</v>
      </c>
      <c r="P302" s="16"/>
      <c r="Q302" s="16">
        <v>687</v>
      </c>
      <c r="R302" s="16"/>
      <c r="S302" s="16">
        <v>8928</v>
      </c>
      <c r="T302" s="16"/>
      <c r="U302" s="16">
        <v>0</v>
      </c>
      <c r="V302" s="16"/>
      <c r="W302" s="16">
        <v>0</v>
      </c>
      <c r="X302" s="16"/>
      <c r="Y302" s="16">
        <v>1000</v>
      </c>
      <c r="Z302" s="16"/>
      <c r="AA302" s="16">
        <v>39120</v>
      </c>
      <c r="AB302" s="16"/>
      <c r="AC302" s="16">
        <v>0</v>
      </c>
      <c r="AD302" s="16"/>
      <c r="AE302" s="16">
        <f t="shared" si="9"/>
        <v>316702</v>
      </c>
    </row>
    <row r="303" spans="1:31" ht="12.75" customHeight="1">
      <c r="A303" s="1" t="s">
        <v>269</v>
      </c>
      <c r="B303" s="1"/>
      <c r="C303" s="1" t="s">
        <v>194</v>
      </c>
      <c r="D303" s="16"/>
      <c r="E303" s="16">
        <v>13953</v>
      </c>
      <c r="F303" s="16"/>
      <c r="G303" s="16">
        <v>0</v>
      </c>
      <c r="H303" s="16"/>
      <c r="I303" s="16">
        <v>10487</v>
      </c>
      <c r="J303" s="16"/>
      <c r="K303" s="16">
        <v>0</v>
      </c>
      <c r="L303" s="16"/>
      <c r="M303" s="16">
        <v>21740</v>
      </c>
      <c r="N303" s="16"/>
      <c r="O303" s="16">
        <v>7292</v>
      </c>
      <c r="P303" s="16"/>
      <c r="Q303" s="16">
        <v>42</v>
      </c>
      <c r="R303" s="16"/>
      <c r="S303" s="16">
        <v>5125</v>
      </c>
      <c r="T303" s="16"/>
      <c r="U303" s="16">
        <v>18500</v>
      </c>
      <c r="V303" s="16"/>
      <c r="W303" s="16">
        <v>0</v>
      </c>
      <c r="X303" s="16"/>
      <c r="Y303" s="16">
        <v>0</v>
      </c>
      <c r="Z303" s="16"/>
      <c r="AA303" s="16">
        <v>0</v>
      </c>
      <c r="AB303" s="16"/>
      <c r="AC303" s="16">
        <v>0</v>
      </c>
      <c r="AD303" s="16"/>
      <c r="AE303" s="16">
        <f t="shared" si="9"/>
        <v>77139</v>
      </c>
    </row>
    <row r="304" spans="1:31" ht="12.75" customHeight="1">
      <c r="A304" s="1" t="s">
        <v>588</v>
      </c>
      <c r="C304" s="1" t="s">
        <v>247</v>
      </c>
      <c r="E304" s="16">
        <v>100362</v>
      </c>
      <c r="F304" s="16"/>
      <c r="G304" s="16">
        <v>193762</v>
      </c>
      <c r="H304" s="16"/>
      <c r="I304" s="16">
        <v>115503</v>
      </c>
      <c r="J304" s="16"/>
      <c r="K304" s="16">
        <v>0</v>
      </c>
      <c r="L304" s="16"/>
      <c r="M304" s="16">
        <v>2741</v>
      </c>
      <c r="N304" s="16"/>
      <c r="O304" s="16">
        <v>2295</v>
      </c>
      <c r="P304" s="16"/>
      <c r="Q304" s="16">
        <v>743</v>
      </c>
      <c r="R304" s="16"/>
      <c r="S304" s="16">
        <v>5084</v>
      </c>
      <c r="T304" s="16"/>
      <c r="U304" s="16">
        <v>0</v>
      </c>
      <c r="V304" s="16"/>
      <c r="W304" s="16">
        <v>0</v>
      </c>
      <c r="X304" s="16"/>
      <c r="Y304" s="16">
        <v>20796</v>
      </c>
      <c r="Z304" s="16"/>
      <c r="AA304" s="16">
        <v>0</v>
      </c>
      <c r="AB304" s="16"/>
      <c r="AC304" s="16">
        <v>0</v>
      </c>
      <c r="AD304" s="16"/>
      <c r="AE304" s="16">
        <f t="shared" si="9"/>
        <v>441286</v>
      </c>
    </row>
    <row r="305" spans="1:31" ht="12.75" customHeight="1">
      <c r="A305" s="1" t="s">
        <v>482</v>
      </c>
      <c r="C305" s="1" t="s">
        <v>153</v>
      </c>
      <c r="E305" s="16">
        <v>6211</v>
      </c>
      <c r="F305" s="16"/>
      <c r="G305" s="16">
        <v>0</v>
      </c>
      <c r="H305" s="16"/>
      <c r="I305" s="16">
        <v>24477</v>
      </c>
      <c r="J305" s="16"/>
      <c r="K305" s="16">
        <v>0</v>
      </c>
      <c r="L305" s="16"/>
      <c r="M305" s="16">
        <v>0</v>
      </c>
      <c r="N305" s="16"/>
      <c r="O305" s="16">
        <v>0</v>
      </c>
      <c r="P305" s="16"/>
      <c r="Q305" s="16">
        <v>143</v>
      </c>
      <c r="R305" s="16"/>
      <c r="S305" s="16">
        <v>0</v>
      </c>
      <c r="T305" s="16"/>
      <c r="U305" s="16">
        <v>0</v>
      </c>
      <c r="V305" s="16"/>
      <c r="W305" s="16">
        <v>0</v>
      </c>
      <c r="X305" s="16"/>
      <c r="Y305" s="16">
        <v>0</v>
      </c>
      <c r="Z305" s="16"/>
      <c r="AA305" s="16">
        <v>0</v>
      </c>
      <c r="AB305" s="16"/>
      <c r="AC305" s="16">
        <v>0</v>
      </c>
      <c r="AD305" s="16"/>
      <c r="AE305" s="16">
        <f t="shared" si="9"/>
        <v>30831</v>
      </c>
    </row>
    <row r="306" spans="1:31" ht="12.75" customHeight="1">
      <c r="A306" s="1" t="s">
        <v>505</v>
      </c>
      <c r="C306" s="1" t="s">
        <v>414</v>
      </c>
      <c r="E306" s="16">
        <v>77187</v>
      </c>
      <c r="F306" s="16"/>
      <c r="G306" s="16">
        <v>397806</v>
      </c>
      <c r="H306" s="16"/>
      <c r="I306" s="16">
        <v>218804</v>
      </c>
      <c r="J306" s="16"/>
      <c r="K306" s="16">
        <v>0</v>
      </c>
      <c r="L306" s="16"/>
      <c r="M306" s="16">
        <v>63843</v>
      </c>
      <c r="N306" s="16"/>
      <c r="O306" s="16">
        <v>37853</v>
      </c>
      <c r="P306" s="16"/>
      <c r="Q306" s="16">
        <v>8358</v>
      </c>
      <c r="R306" s="16"/>
      <c r="S306" s="16">
        <v>5398</v>
      </c>
      <c r="T306" s="16"/>
      <c r="U306" s="16">
        <v>0</v>
      </c>
      <c r="V306" s="16"/>
      <c r="W306" s="16">
        <v>1125</v>
      </c>
      <c r="X306" s="16"/>
      <c r="Y306" s="16">
        <v>380542</v>
      </c>
      <c r="Z306" s="16"/>
      <c r="AA306" s="16">
        <v>11257</v>
      </c>
      <c r="AB306" s="16"/>
      <c r="AC306" s="16">
        <v>0</v>
      </c>
      <c r="AD306" s="16"/>
      <c r="AE306" s="16">
        <f t="shared" si="9"/>
        <v>1202173</v>
      </c>
    </row>
    <row r="307" spans="1:31" ht="12.75" customHeight="1">
      <c r="A307" s="1" t="s">
        <v>787</v>
      </c>
      <c r="B307" s="1"/>
      <c r="C307" s="1" t="s">
        <v>110</v>
      </c>
      <c r="D307" s="16"/>
      <c r="E307" s="16">
        <f>179670+76774</f>
        <v>256444</v>
      </c>
      <c r="F307" s="16"/>
      <c r="G307" s="16">
        <v>2103480</v>
      </c>
      <c r="H307" s="16"/>
      <c r="I307" s="16">
        <f>121472+141222+19750</f>
        <v>282444</v>
      </c>
      <c r="J307" s="16"/>
      <c r="K307" s="16">
        <v>0</v>
      </c>
      <c r="L307" s="16"/>
      <c r="M307" s="16">
        <f>24752+29732</f>
        <v>54484</v>
      </c>
      <c r="N307" s="16"/>
      <c r="O307" s="16">
        <f>10653+443</f>
        <v>11096</v>
      </c>
      <c r="P307" s="16"/>
      <c r="Q307" s="16">
        <v>9139</v>
      </c>
      <c r="R307" s="16"/>
      <c r="S307" s="16">
        <f>476727+1855</f>
        <v>478582</v>
      </c>
      <c r="T307" s="16"/>
      <c r="U307" s="16">
        <v>0</v>
      </c>
      <c r="V307" s="16"/>
      <c r="W307" s="16">
        <v>1121</v>
      </c>
      <c r="X307" s="16"/>
      <c r="Y307" s="16">
        <v>247000</v>
      </c>
      <c r="Z307" s="16"/>
      <c r="AA307" s="16">
        <v>0</v>
      </c>
      <c r="AB307" s="16"/>
      <c r="AC307" s="16">
        <v>60769</v>
      </c>
      <c r="AD307" s="16"/>
      <c r="AE307" s="16">
        <f t="shared" si="9"/>
        <v>3504559</v>
      </c>
    </row>
    <row r="308" spans="1:31" ht="12.75" customHeight="1">
      <c r="A308" s="1" t="s">
        <v>224</v>
      </c>
      <c r="B308" s="1"/>
      <c r="C308" s="1" t="s">
        <v>225</v>
      </c>
      <c r="D308" s="16"/>
      <c r="E308" s="16">
        <v>207660</v>
      </c>
      <c r="F308" s="16"/>
      <c r="G308" s="16">
        <v>207741</v>
      </c>
      <c r="H308" s="16"/>
      <c r="I308" s="16">
        <f>286808-389</f>
        <v>286419</v>
      </c>
      <c r="J308" s="16"/>
      <c r="K308" s="16">
        <v>0</v>
      </c>
      <c r="L308" s="16"/>
      <c r="M308" s="16">
        <v>261657</v>
      </c>
      <c r="N308" s="16"/>
      <c r="O308" s="16">
        <v>2930</v>
      </c>
      <c r="P308" s="16"/>
      <c r="Q308" s="16">
        <v>13708</v>
      </c>
      <c r="R308" s="16"/>
      <c r="S308" s="16">
        <v>664</v>
      </c>
      <c r="T308" s="16"/>
      <c r="U308" s="16">
        <v>92001</v>
      </c>
      <c r="V308" s="16"/>
      <c r="W308" s="16">
        <v>0</v>
      </c>
      <c r="X308" s="16"/>
      <c r="Y308" s="16">
        <v>352273</v>
      </c>
      <c r="Z308" s="16"/>
      <c r="AA308" s="16">
        <v>0</v>
      </c>
      <c r="AB308" s="16"/>
      <c r="AC308" s="16">
        <v>39652</v>
      </c>
      <c r="AD308" s="16"/>
      <c r="AE308" s="16">
        <f t="shared" si="9"/>
        <v>1464705</v>
      </c>
    </row>
    <row r="309" spans="1:31" ht="12.75" customHeight="1">
      <c r="A309" s="1" t="s">
        <v>660</v>
      </c>
      <c r="C309" s="1" t="s">
        <v>80</v>
      </c>
      <c r="E309" s="16">
        <v>11266</v>
      </c>
      <c r="F309" s="16"/>
      <c r="G309" s="16">
        <v>0</v>
      </c>
      <c r="H309" s="16"/>
      <c r="I309" s="16">
        <v>21589</v>
      </c>
      <c r="J309" s="16"/>
      <c r="K309" s="16">
        <v>0</v>
      </c>
      <c r="L309" s="16"/>
      <c r="M309" s="16">
        <v>0</v>
      </c>
      <c r="N309" s="16"/>
      <c r="O309" s="16">
        <v>0</v>
      </c>
      <c r="P309" s="16"/>
      <c r="Q309" s="16">
        <v>0</v>
      </c>
      <c r="R309" s="16"/>
      <c r="S309" s="16">
        <v>0</v>
      </c>
      <c r="T309" s="16"/>
      <c r="U309" s="16">
        <v>0</v>
      </c>
      <c r="V309" s="16"/>
      <c r="W309" s="16">
        <v>0</v>
      </c>
      <c r="X309" s="16"/>
      <c r="Y309" s="16">
        <v>0</v>
      </c>
      <c r="Z309" s="16"/>
      <c r="AA309" s="16">
        <v>0</v>
      </c>
      <c r="AB309" s="16"/>
      <c r="AC309" s="16">
        <v>974</v>
      </c>
      <c r="AD309" s="16"/>
      <c r="AE309" s="16">
        <f t="shared" si="9"/>
        <v>33829</v>
      </c>
    </row>
    <row r="310" spans="1:31" ht="12.75" customHeight="1">
      <c r="A310" s="1" t="s">
        <v>270</v>
      </c>
      <c r="B310" s="1"/>
      <c r="C310" s="1" t="s">
        <v>147</v>
      </c>
      <c r="D310" s="16"/>
      <c r="E310" s="16">
        <v>393570</v>
      </c>
      <c r="F310" s="16"/>
      <c r="G310" s="16">
        <v>1256498</v>
      </c>
      <c r="H310" s="16"/>
      <c r="I310" s="16">
        <v>498870</v>
      </c>
      <c r="J310" s="16"/>
      <c r="K310" s="16">
        <v>0</v>
      </c>
      <c r="L310" s="16"/>
      <c r="M310" s="16">
        <v>1965</v>
      </c>
      <c r="N310" s="16"/>
      <c r="O310" s="16">
        <v>66982</v>
      </c>
      <c r="P310" s="16"/>
      <c r="Q310" s="16">
        <v>16425</v>
      </c>
      <c r="R310" s="16"/>
      <c r="S310" s="16">
        <v>86427</v>
      </c>
      <c r="T310" s="16"/>
      <c r="U310" s="16">
        <v>695000</v>
      </c>
      <c r="V310" s="16"/>
      <c r="W310" s="16">
        <v>13099</v>
      </c>
      <c r="X310" s="16"/>
      <c r="Y310" s="16">
        <v>404885</v>
      </c>
      <c r="Z310" s="16"/>
      <c r="AA310" s="16">
        <v>56250</v>
      </c>
      <c r="AB310" s="16"/>
      <c r="AC310" s="16">
        <v>0</v>
      </c>
      <c r="AD310" s="16"/>
      <c r="AE310" s="16">
        <f t="shared" si="9"/>
        <v>3489971</v>
      </c>
    </row>
    <row r="311" spans="1:31" ht="12.75" customHeight="1">
      <c r="A311" s="1" t="s">
        <v>585</v>
      </c>
      <c r="C311" s="1" t="s">
        <v>239</v>
      </c>
      <c r="E311" s="16">
        <v>28167</v>
      </c>
      <c r="F311" s="16"/>
      <c r="G311" s="16">
        <v>154945</v>
      </c>
      <c r="H311" s="16"/>
      <c r="I311" s="16">
        <v>95705</v>
      </c>
      <c r="J311" s="16"/>
      <c r="K311" s="16">
        <v>14618</v>
      </c>
      <c r="L311" s="16"/>
      <c r="M311" s="16">
        <v>5960</v>
      </c>
      <c r="N311" s="16"/>
      <c r="O311" s="16">
        <v>35</v>
      </c>
      <c r="P311" s="16"/>
      <c r="Q311" s="16">
        <v>7851</v>
      </c>
      <c r="R311" s="16"/>
      <c r="S311" s="16">
        <v>18063</v>
      </c>
      <c r="T311" s="16"/>
      <c r="U311" s="16">
        <v>0</v>
      </c>
      <c r="V311" s="16"/>
      <c r="W311" s="16">
        <v>0</v>
      </c>
      <c r="X311" s="16"/>
      <c r="Y311" s="16">
        <v>3500</v>
      </c>
      <c r="Z311" s="16"/>
      <c r="AA311" s="16">
        <v>0</v>
      </c>
      <c r="AB311" s="16"/>
      <c r="AC311" s="16">
        <v>27764</v>
      </c>
      <c r="AD311" s="16"/>
      <c r="AE311" s="16">
        <f t="shared" si="9"/>
        <v>356608</v>
      </c>
    </row>
    <row r="312" spans="1:31" ht="12.75" customHeight="1">
      <c r="A312" s="1" t="s">
        <v>731</v>
      </c>
      <c r="C312" s="1" t="s">
        <v>106</v>
      </c>
      <c r="E312" s="16">
        <v>19803</v>
      </c>
      <c r="F312" s="16"/>
      <c r="G312" s="16">
        <v>0</v>
      </c>
      <c r="H312" s="16"/>
      <c r="I312" s="16">
        <v>9223</v>
      </c>
      <c r="J312" s="16"/>
      <c r="K312" s="16">
        <v>0</v>
      </c>
      <c r="L312" s="16"/>
      <c r="M312" s="16">
        <v>2830</v>
      </c>
      <c r="N312" s="16"/>
      <c r="O312" s="16">
        <v>319</v>
      </c>
      <c r="P312" s="16"/>
      <c r="Q312" s="16">
        <v>87</v>
      </c>
      <c r="R312" s="16"/>
      <c r="S312" s="16">
        <v>30</v>
      </c>
      <c r="T312" s="16"/>
      <c r="U312" s="16">
        <v>0</v>
      </c>
      <c r="V312" s="16"/>
      <c r="W312" s="16">
        <v>0</v>
      </c>
      <c r="X312" s="16"/>
      <c r="Y312" s="16">
        <v>0</v>
      </c>
      <c r="Z312" s="16"/>
      <c r="AA312" s="16">
        <v>0</v>
      </c>
      <c r="AB312" s="16"/>
      <c r="AC312" s="16">
        <v>0</v>
      </c>
      <c r="AD312" s="16"/>
      <c r="AE312" s="16">
        <f t="shared" si="9"/>
        <v>32292</v>
      </c>
    </row>
    <row r="313" spans="1:31" ht="12.75" customHeight="1">
      <c r="A313" s="1" t="s">
        <v>271</v>
      </c>
      <c r="B313" s="1"/>
      <c r="C313" s="1" t="s">
        <v>73</v>
      </c>
      <c r="D313" s="16"/>
      <c r="E313" s="16">
        <f>672571-8248</f>
        <v>664323</v>
      </c>
      <c r="F313" s="16"/>
      <c r="G313" s="16">
        <v>585106</v>
      </c>
      <c r="H313" s="16"/>
      <c r="I313" s="16">
        <f>522171-899</f>
        <v>521272</v>
      </c>
      <c r="J313" s="16"/>
      <c r="K313" s="16">
        <v>0</v>
      </c>
      <c r="L313" s="16"/>
      <c r="M313" s="16">
        <v>179398</v>
      </c>
      <c r="N313" s="16"/>
      <c r="O313" s="16">
        <v>24051</v>
      </c>
      <c r="P313" s="16"/>
      <c r="Q313" s="16">
        <v>4533</v>
      </c>
      <c r="R313" s="16"/>
      <c r="S313" s="16">
        <v>47144</v>
      </c>
      <c r="T313" s="16"/>
      <c r="U313" s="16">
        <v>200000</v>
      </c>
      <c r="V313" s="16"/>
      <c r="W313" s="16">
        <v>755018</v>
      </c>
      <c r="X313" s="16"/>
      <c r="Y313" s="16">
        <v>117940</v>
      </c>
      <c r="Z313" s="16"/>
      <c r="AA313" s="16">
        <v>0</v>
      </c>
      <c r="AB313" s="16"/>
      <c r="AC313" s="16">
        <v>0</v>
      </c>
      <c r="AD313" s="16"/>
      <c r="AE313" s="16">
        <f t="shared" si="9"/>
        <v>3098785</v>
      </c>
    </row>
    <row r="314" spans="1:31" ht="12.75" customHeight="1">
      <c r="A314" s="1" t="s">
        <v>719</v>
      </c>
      <c r="C314" s="1" t="s">
        <v>142</v>
      </c>
      <c r="E314" s="16">
        <v>40083</v>
      </c>
      <c r="F314" s="16"/>
      <c r="G314" s="16">
        <v>0</v>
      </c>
      <c r="H314" s="16"/>
      <c r="I314" s="16">
        <v>98618</v>
      </c>
      <c r="J314" s="16"/>
      <c r="K314" s="16">
        <v>0</v>
      </c>
      <c r="L314" s="16"/>
      <c r="M314" s="16">
        <v>75000</v>
      </c>
      <c r="N314" s="16"/>
      <c r="O314" s="16">
        <v>120</v>
      </c>
      <c r="P314" s="16"/>
      <c r="Q314" s="16">
        <v>3866</v>
      </c>
      <c r="R314" s="16"/>
      <c r="S314" s="16">
        <v>1392</v>
      </c>
      <c r="T314" s="16"/>
      <c r="U314" s="16">
        <v>0</v>
      </c>
      <c r="V314" s="16"/>
      <c r="W314" s="16">
        <v>0</v>
      </c>
      <c r="X314" s="16"/>
      <c r="Y314" s="16">
        <v>0</v>
      </c>
      <c r="Z314" s="16"/>
      <c r="AA314" s="16">
        <v>0</v>
      </c>
      <c r="AB314" s="16"/>
      <c r="AC314" s="16">
        <v>0</v>
      </c>
      <c r="AD314" s="16"/>
      <c r="AE314" s="16">
        <f t="shared" si="9"/>
        <v>219079</v>
      </c>
    </row>
    <row r="315" spans="1:31" ht="12.75" customHeight="1">
      <c r="A315" s="1" t="s">
        <v>517</v>
      </c>
      <c r="C315" s="1" t="s">
        <v>112</v>
      </c>
      <c r="E315" s="16">
        <v>8341</v>
      </c>
      <c r="F315" s="16"/>
      <c r="G315" s="16">
        <v>83413</v>
      </c>
      <c r="H315" s="16"/>
      <c r="I315" s="16">
        <v>85011</v>
      </c>
      <c r="J315" s="16"/>
      <c r="K315" s="16">
        <v>1914</v>
      </c>
      <c r="L315" s="16"/>
      <c r="M315" s="16">
        <v>10045</v>
      </c>
      <c r="N315" s="16"/>
      <c r="O315" s="16">
        <v>783029</v>
      </c>
      <c r="P315" s="16"/>
      <c r="Q315" s="16">
        <v>1023</v>
      </c>
      <c r="R315" s="16"/>
      <c r="S315" s="16">
        <v>11364</v>
      </c>
      <c r="T315" s="16"/>
      <c r="U315" s="16">
        <v>0</v>
      </c>
      <c r="V315" s="16"/>
      <c r="W315" s="16">
        <v>0</v>
      </c>
      <c r="X315" s="16"/>
      <c r="Y315" s="16">
        <v>45000</v>
      </c>
      <c r="Z315" s="16"/>
      <c r="AA315" s="16">
        <v>6800</v>
      </c>
      <c r="AB315" s="16"/>
      <c r="AC315" s="16">
        <v>41080</v>
      </c>
      <c r="AD315" s="16"/>
      <c r="AE315" s="16">
        <f t="shared" si="9"/>
        <v>1077020</v>
      </c>
    </row>
    <row r="316" spans="1:31" ht="12.75" customHeight="1">
      <c r="A316" s="1" t="s">
        <v>506</v>
      </c>
      <c r="C316" s="1" t="s">
        <v>414</v>
      </c>
      <c r="E316" s="16">
        <v>89603</v>
      </c>
      <c r="F316" s="16"/>
      <c r="G316" s="16">
        <v>0</v>
      </c>
      <c r="H316" s="16"/>
      <c r="I316" s="16">
        <v>388155</v>
      </c>
      <c r="J316" s="16"/>
      <c r="K316" s="16">
        <v>39010</v>
      </c>
      <c r="L316" s="16"/>
      <c r="M316" s="16">
        <v>142688</v>
      </c>
      <c r="N316" s="16"/>
      <c r="O316" s="16">
        <v>23704</v>
      </c>
      <c r="P316" s="16"/>
      <c r="Q316" s="16">
        <v>6844</v>
      </c>
      <c r="R316" s="16"/>
      <c r="S316" s="16">
        <v>101087</v>
      </c>
      <c r="T316" s="16"/>
      <c r="U316" s="16">
        <v>0</v>
      </c>
      <c r="V316" s="16"/>
      <c r="W316" s="16">
        <v>0</v>
      </c>
      <c r="X316" s="16"/>
      <c r="Y316" s="16">
        <v>851217</v>
      </c>
      <c r="Z316" s="16"/>
      <c r="AA316" s="16">
        <v>0</v>
      </c>
      <c r="AB316" s="16"/>
      <c r="AC316" s="16">
        <v>127113</v>
      </c>
      <c r="AD316" s="16"/>
      <c r="AE316" s="16">
        <f t="shared" si="9"/>
        <v>1769421</v>
      </c>
    </row>
    <row r="317" spans="1:31" ht="12.75" customHeight="1">
      <c r="A317" s="1" t="s">
        <v>543</v>
      </c>
      <c r="C317" s="1" t="s">
        <v>149</v>
      </c>
      <c r="E317" s="16">
        <v>14148</v>
      </c>
      <c r="F317" s="16"/>
      <c r="G317" s="16">
        <v>0</v>
      </c>
      <c r="H317" s="16"/>
      <c r="I317" s="16">
        <v>75282</v>
      </c>
      <c r="J317" s="16"/>
      <c r="K317" s="16">
        <v>0</v>
      </c>
      <c r="L317" s="16"/>
      <c r="M317" s="16">
        <v>0</v>
      </c>
      <c r="N317" s="16"/>
      <c r="O317" s="16">
        <v>2008</v>
      </c>
      <c r="P317" s="16"/>
      <c r="Q317" s="16">
        <v>3614</v>
      </c>
      <c r="R317" s="16"/>
      <c r="S317" s="16">
        <v>0</v>
      </c>
      <c r="T317" s="16"/>
      <c r="U317" s="16">
        <v>0</v>
      </c>
      <c r="V317" s="16"/>
      <c r="W317" s="16">
        <v>0</v>
      </c>
      <c r="X317" s="16"/>
      <c r="Y317" s="16">
        <v>0</v>
      </c>
      <c r="Z317" s="16"/>
      <c r="AA317" s="16">
        <v>0</v>
      </c>
      <c r="AB317" s="16"/>
      <c r="AC317" s="16">
        <v>0</v>
      </c>
      <c r="AD317" s="16"/>
      <c r="AE317" s="16">
        <f t="shared" si="9"/>
        <v>95052</v>
      </c>
    </row>
    <row r="318" spans="1:31" ht="12.75" customHeight="1">
      <c r="A318" s="1" t="s">
        <v>272</v>
      </c>
      <c r="B318" s="1"/>
      <c r="C318" s="1" t="s">
        <v>131</v>
      </c>
      <c r="D318" s="16"/>
      <c r="E318" s="16">
        <v>3189</v>
      </c>
      <c r="F318" s="16"/>
      <c r="G318" s="16">
        <v>0</v>
      </c>
      <c r="H318" s="16"/>
      <c r="I318" s="16">
        <v>19745</v>
      </c>
      <c r="J318" s="16"/>
      <c r="K318" s="16">
        <v>2017</v>
      </c>
      <c r="L318" s="16"/>
      <c r="M318" s="16">
        <v>0</v>
      </c>
      <c r="N318" s="16"/>
      <c r="O318" s="16">
        <v>299</v>
      </c>
      <c r="P318" s="16"/>
      <c r="Q318" s="16">
        <v>154</v>
      </c>
      <c r="R318" s="16"/>
      <c r="S318" s="16">
        <v>21</v>
      </c>
      <c r="T318" s="16"/>
      <c r="U318" s="16">
        <v>0</v>
      </c>
      <c r="V318" s="16"/>
      <c r="W318" s="16">
        <v>0</v>
      </c>
      <c r="X318" s="16"/>
      <c r="Y318" s="16">
        <v>1886</v>
      </c>
      <c r="Z318" s="16"/>
      <c r="AA318" s="16">
        <v>0</v>
      </c>
      <c r="AB318" s="16"/>
      <c r="AC318" s="16">
        <v>0</v>
      </c>
      <c r="AD318" s="16"/>
      <c r="AE318" s="16">
        <f t="shared" si="9"/>
        <v>27311</v>
      </c>
    </row>
    <row r="319" spans="1:31" ht="12.75" customHeight="1">
      <c r="A319" s="1" t="s">
        <v>568</v>
      </c>
      <c r="C319" s="1" t="s">
        <v>73</v>
      </c>
      <c r="E319" s="16">
        <v>488174</v>
      </c>
      <c r="F319" s="16"/>
      <c r="G319" s="16">
        <v>1505409</v>
      </c>
      <c r="H319" s="16"/>
      <c r="I319" s="16">
        <v>661178</v>
      </c>
      <c r="J319" s="16"/>
      <c r="K319" s="16">
        <v>211247</v>
      </c>
      <c r="L319" s="16"/>
      <c r="M319" s="16">
        <v>247164</v>
      </c>
      <c r="N319" s="16"/>
      <c r="O319" s="16">
        <v>262568</v>
      </c>
      <c r="P319" s="16"/>
      <c r="Q319" s="16">
        <v>24153</v>
      </c>
      <c r="R319" s="16"/>
      <c r="S319" s="16">
        <v>29366</v>
      </c>
      <c r="T319" s="16"/>
      <c r="U319" s="16">
        <v>183513</v>
      </c>
      <c r="V319" s="16"/>
      <c r="W319" s="16">
        <v>0</v>
      </c>
      <c r="X319" s="16"/>
      <c r="Y319" s="16">
        <v>270949</v>
      </c>
      <c r="Z319" s="16"/>
      <c r="AA319" s="16">
        <v>0</v>
      </c>
      <c r="AB319" s="16"/>
      <c r="AC319" s="16">
        <v>0</v>
      </c>
      <c r="AD319" s="16"/>
      <c r="AE319" s="16">
        <f t="shared" si="9"/>
        <v>3883721</v>
      </c>
    </row>
    <row r="320" spans="1:31" ht="12.75" customHeight="1">
      <c r="A320" s="1" t="s">
        <v>273</v>
      </c>
      <c r="B320" s="1"/>
      <c r="C320" s="1" t="s">
        <v>274</v>
      </c>
      <c r="E320" s="16">
        <v>366612</v>
      </c>
      <c r="F320" s="16"/>
      <c r="G320" s="16">
        <v>8608</v>
      </c>
      <c r="H320" s="16"/>
      <c r="I320" s="16">
        <v>354057</v>
      </c>
      <c r="J320" s="16"/>
      <c r="K320" s="16">
        <v>0</v>
      </c>
      <c r="L320" s="16"/>
      <c r="M320" s="16">
        <v>215581</v>
      </c>
      <c r="N320" s="16"/>
      <c r="O320" s="16">
        <v>11841</v>
      </c>
      <c r="P320" s="16"/>
      <c r="Q320" s="16">
        <v>36033</v>
      </c>
      <c r="R320" s="16"/>
      <c r="S320" s="16">
        <v>19398</v>
      </c>
      <c r="T320" s="16"/>
      <c r="U320" s="16">
        <v>0</v>
      </c>
      <c r="V320" s="16"/>
      <c r="W320" s="16">
        <v>0</v>
      </c>
      <c r="X320" s="16"/>
      <c r="Y320" s="16">
        <v>781173</v>
      </c>
      <c r="Z320" s="16"/>
      <c r="AA320" s="16">
        <v>0</v>
      </c>
      <c r="AB320" s="16"/>
      <c r="AC320" s="16">
        <v>9332</v>
      </c>
      <c r="AD320" s="16"/>
      <c r="AE320" s="16">
        <f t="shared" si="9"/>
        <v>1802635</v>
      </c>
    </row>
    <row r="321" spans="1:31" ht="12.75" customHeight="1">
      <c r="A321" s="1" t="s">
        <v>275</v>
      </c>
      <c r="B321" s="1"/>
      <c r="C321" s="1" t="s">
        <v>276</v>
      </c>
      <c r="D321" s="16"/>
      <c r="E321" s="16">
        <v>180228</v>
      </c>
      <c r="F321" s="16"/>
      <c r="G321" s="16">
        <v>0</v>
      </c>
      <c r="H321" s="16"/>
      <c r="I321" s="16">
        <v>345569</v>
      </c>
      <c r="J321" s="16"/>
      <c r="K321" s="16">
        <v>1531</v>
      </c>
      <c r="L321" s="16"/>
      <c r="M321" s="16">
        <v>118171</v>
      </c>
      <c r="N321" s="16"/>
      <c r="O321" s="16">
        <v>68388</v>
      </c>
      <c r="P321" s="16"/>
      <c r="Q321" s="16">
        <v>42312</v>
      </c>
      <c r="R321" s="16"/>
      <c r="S321" s="16">
        <v>48622</v>
      </c>
      <c r="T321" s="16"/>
      <c r="U321" s="16">
        <v>0</v>
      </c>
      <c r="V321" s="16"/>
      <c r="W321" s="16">
        <v>10706</v>
      </c>
      <c r="X321" s="16"/>
      <c r="Y321" s="16">
        <v>3499717</v>
      </c>
      <c r="Z321" s="16"/>
      <c r="AA321" s="16">
        <v>237324</v>
      </c>
      <c r="AB321" s="16"/>
      <c r="AC321" s="16">
        <v>0</v>
      </c>
      <c r="AD321" s="16"/>
      <c r="AE321" s="16">
        <f t="shared" si="9"/>
        <v>4552568</v>
      </c>
    </row>
    <row r="322" spans="1:31" ht="12.75" customHeight="1">
      <c r="A322" s="1" t="s">
        <v>559</v>
      </c>
      <c r="C322" s="1" t="s">
        <v>199</v>
      </c>
      <c r="E322" s="16">
        <v>16849</v>
      </c>
      <c r="F322" s="16"/>
      <c r="G322" s="16">
        <v>0</v>
      </c>
      <c r="H322" s="16"/>
      <c r="I322" s="16">
        <v>55368</v>
      </c>
      <c r="J322" s="16"/>
      <c r="K322" s="16">
        <v>0</v>
      </c>
      <c r="L322" s="16"/>
      <c r="M322" s="16">
        <v>9000</v>
      </c>
      <c r="N322" s="16"/>
      <c r="O322" s="16">
        <v>0</v>
      </c>
      <c r="P322" s="16"/>
      <c r="Q322" s="16">
        <v>41</v>
      </c>
      <c r="R322" s="16"/>
      <c r="S322" s="16">
        <v>11029</v>
      </c>
      <c r="T322" s="16"/>
      <c r="U322" s="16">
        <v>0</v>
      </c>
      <c r="V322" s="16"/>
      <c r="W322" s="16">
        <v>5000</v>
      </c>
      <c r="X322" s="16"/>
      <c r="Y322" s="16">
        <v>0</v>
      </c>
      <c r="Z322" s="16"/>
      <c r="AA322" s="16">
        <v>0</v>
      </c>
      <c r="AB322" s="16"/>
      <c r="AC322" s="16">
        <v>0</v>
      </c>
      <c r="AD322" s="16"/>
      <c r="AE322" s="16">
        <f t="shared" si="9"/>
        <v>97287</v>
      </c>
    </row>
    <row r="323" spans="1:31" ht="12.75" customHeight="1">
      <c r="A323" s="1" t="s">
        <v>757</v>
      </c>
      <c r="C323" s="1" t="s">
        <v>120</v>
      </c>
      <c r="E323" s="16">
        <v>11755</v>
      </c>
      <c r="F323" s="16"/>
      <c r="G323" s="16">
        <v>0</v>
      </c>
      <c r="H323" s="16"/>
      <c r="I323" s="16">
        <v>81532</v>
      </c>
      <c r="J323" s="16"/>
      <c r="K323" s="16">
        <v>0</v>
      </c>
      <c r="L323" s="16"/>
      <c r="M323" s="16">
        <v>0</v>
      </c>
      <c r="N323" s="16"/>
      <c r="O323" s="16">
        <v>578</v>
      </c>
      <c r="P323" s="16"/>
      <c r="Q323" s="16">
        <v>2596</v>
      </c>
      <c r="R323" s="16"/>
      <c r="S323" s="16">
        <v>4761</v>
      </c>
      <c r="T323" s="16"/>
      <c r="U323" s="16">
        <v>0</v>
      </c>
      <c r="V323" s="16"/>
      <c r="W323" s="16">
        <v>0</v>
      </c>
      <c r="X323" s="16"/>
      <c r="Y323" s="16">
        <v>265</v>
      </c>
      <c r="Z323" s="16"/>
      <c r="AA323" s="16">
        <v>0</v>
      </c>
      <c r="AB323" s="16"/>
      <c r="AC323" s="16">
        <v>28</v>
      </c>
      <c r="AD323" s="16"/>
      <c r="AE323" s="16">
        <f t="shared" si="9"/>
        <v>101515</v>
      </c>
    </row>
    <row r="324" spans="1:31" ht="12.75" customHeight="1">
      <c r="A324" s="1" t="s">
        <v>632</v>
      </c>
      <c r="C324" s="1" t="s">
        <v>378</v>
      </c>
      <c r="E324" s="16">
        <v>133413</v>
      </c>
      <c r="F324" s="16"/>
      <c r="G324" s="16">
        <v>236117</v>
      </c>
      <c r="H324" s="16"/>
      <c r="I324" s="16">
        <v>277179</v>
      </c>
      <c r="J324" s="16"/>
      <c r="K324" s="16">
        <v>363152</v>
      </c>
      <c r="L324" s="16"/>
      <c r="M324" s="16">
        <v>53851</v>
      </c>
      <c r="N324" s="16"/>
      <c r="O324" s="16">
        <v>25326</v>
      </c>
      <c r="P324" s="16"/>
      <c r="Q324" s="16">
        <v>719</v>
      </c>
      <c r="R324" s="16"/>
      <c r="S324" s="16">
        <v>14261</v>
      </c>
      <c r="T324" s="16"/>
      <c r="U324" s="16">
        <v>13477</v>
      </c>
      <c r="V324" s="16"/>
      <c r="W324" s="16">
        <v>0</v>
      </c>
      <c r="X324" s="16"/>
      <c r="Y324" s="16">
        <v>36952</v>
      </c>
      <c r="Z324" s="16"/>
      <c r="AA324" s="16">
        <v>1196</v>
      </c>
      <c r="AB324" s="16"/>
      <c r="AC324" s="16">
        <v>0</v>
      </c>
      <c r="AD324" s="16"/>
      <c r="AE324" s="16">
        <f t="shared" si="9"/>
        <v>1155643</v>
      </c>
    </row>
    <row r="325" spans="1:31" ht="12.75" customHeight="1">
      <c r="A325" s="1" t="s">
        <v>758</v>
      </c>
      <c r="C325" s="1" t="s">
        <v>120</v>
      </c>
      <c r="E325" s="16">
        <v>1514</v>
      </c>
      <c r="F325" s="16"/>
      <c r="G325" s="16">
        <v>0</v>
      </c>
      <c r="H325" s="16"/>
      <c r="I325" s="16">
        <v>38607</v>
      </c>
      <c r="J325" s="16"/>
      <c r="K325" s="16">
        <v>0</v>
      </c>
      <c r="L325" s="16"/>
      <c r="M325" s="16">
        <v>2555</v>
      </c>
      <c r="N325" s="16"/>
      <c r="O325" s="16">
        <v>0</v>
      </c>
      <c r="P325" s="16"/>
      <c r="Q325" s="16">
        <v>77</v>
      </c>
      <c r="R325" s="16"/>
      <c r="S325" s="16">
        <v>0</v>
      </c>
      <c r="T325" s="16"/>
      <c r="U325" s="16">
        <v>0</v>
      </c>
      <c r="V325" s="16"/>
      <c r="W325" s="16">
        <v>0</v>
      </c>
      <c r="X325" s="16"/>
      <c r="Y325" s="16">
        <v>0</v>
      </c>
      <c r="Z325" s="16"/>
      <c r="AA325" s="16">
        <v>0</v>
      </c>
      <c r="AB325" s="16"/>
      <c r="AC325" s="16">
        <v>0</v>
      </c>
      <c r="AD325" s="16"/>
      <c r="AE325" s="16">
        <f t="shared" si="9"/>
        <v>42753</v>
      </c>
    </row>
    <row r="326" spans="1:31" ht="12.75" customHeight="1">
      <c r="A326" s="1" t="s">
        <v>250</v>
      </c>
      <c r="B326" s="1"/>
      <c r="C326" s="1" t="s">
        <v>147</v>
      </c>
      <c r="D326" s="16"/>
      <c r="E326" s="16">
        <v>10257</v>
      </c>
      <c r="F326" s="16"/>
      <c r="G326" s="16">
        <v>0</v>
      </c>
      <c r="H326" s="16"/>
      <c r="I326" s="16">
        <v>105371</v>
      </c>
      <c r="J326" s="16"/>
      <c r="K326" s="16">
        <v>0</v>
      </c>
      <c r="L326" s="16"/>
      <c r="M326" s="16">
        <v>0</v>
      </c>
      <c r="N326" s="16"/>
      <c r="O326" s="16">
        <v>3740</v>
      </c>
      <c r="P326" s="16"/>
      <c r="Q326" s="16">
        <v>4378</v>
      </c>
      <c r="R326" s="16"/>
      <c r="S326" s="16">
        <v>184</v>
      </c>
      <c r="T326" s="16"/>
      <c r="U326" s="16">
        <v>0</v>
      </c>
      <c r="V326" s="16"/>
      <c r="W326" s="16">
        <v>0</v>
      </c>
      <c r="X326" s="16"/>
      <c r="Y326" s="16">
        <v>15500</v>
      </c>
      <c r="Z326" s="16"/>
      <c r="AA326" s="16">
        <v>0</v>
      </c>
      <c r="AB326" s="16"/>
      <c r="AC326" s="16">
        <v>0</v>
      </c>
      <c r="AD326" s="16"/>
      <c r="AE326" s="16">
        <f t="shared" si="9"/>
        <v>139430</v>
      </c>
    </row>
    <row r="327" spans="1:31" ht="12.75" customHeight="1">
      <c r="A327" s="1" t="s">
        <v>277</v>
      </c>
      <c r="B327" s="1"/>
      <c r="C327" s="1" t="s">
        <v>94</v>
      </c>
      <c r="D327" s="16"/>
      <c r="E327" s="16">
        <f>49598+27067</f>
        <v>76665</v>
      </c>
      <c r="F327" s="16"/>
      <c r="G327" s="16">
        <v>148686</v>
      </c>
      <c r="H327" s="16"/>
      <c r="I327" s="16">
        <f>26759+36058+2915+2811</f>
        <v>68543</v>
      </c>
      <c r="J327" s="16"/>
      <c r="K327" s="16">
        <f>11251+63457</f>
        <v>74708</v>
      </c>
      <c r="L327" s="16"/>
      <c r="M327" s="16">
        <v>40301</v>
      </c>
      <c r="N327" s="16"/>
      <c r="O327" s="16">
        <v>7048</v>
      </c>
      <c r="P327" s="16"/>
      <c r="Q327" s="16">
        <f>4990+1321+64+56+32+135+1170+127</f>
        <v>7895</v>
      </c>
      <c r="R327" s="16"/>
      <c r="S327" s="16">
        <f>8760+3056</f>
        <v>11816</v>
      </c>
      <c r="T327" s="16"/>
      <c r="U327" s="16">
        <v>105298</v>
      </c>
      <c r="V327" s="16"/>
      <c r="W327" s="16">
        <v>4367</v>
      </c>
      <c r="X327" s="16"/>
      <c r="Y327" s="16">
        <v>37171</v>
      </c>
      <c r="Z327" s="16"/>
      <c r="AA327" s="16">
        <v>0</v>
      </c>
      <c r="AB327" s="16"/>
      <c r="AC327" s="16">
        <v>0</v>
      </c>
      <c r="AD327" s="16"/>
      <c r="AE327" s="16">
        <f t="shared" si="9"/>
        <v>582498</v>
      </c>
    </row>
    <row r="328" spans="1:31" ht="12.75" customHeight="1">
      <c r="A328" s="1" t="s">
        <v>589</v>
      </c>
      <c r="C328" s="1" t="s">
        <v>247</v>
      </c>
      <c r="E328" s="16">
        <v>189835</v>
      </c>
      <c r="F328" s="16"/>
      <c r="G328" s="16">
        <v>750</v>
      </c>
      <c r="H328" s="16"/>
      <c r="I328" s="16">
        <v>59008</v>
      </c>
      <c r="J328" s="16"/>
      <c r="K328" s="16">
        <v>0</v>
      </c>
      <c r="L328" s="16"/>
      <c r="M328" s="16">
        <v>48529</v>
      </c>
      <c r="N328" s="16"/>
      <c r="O328" s="16">
        <v>4024</v>
      </c>
      <c r="P328" s="16"/>
      <c r="Q328" s="16">
        <v>580</v>
      </c>
      <c r="R328" s="16"/>
      <c r="S328" s="16">
        <v>66189</v>
      </c>
      <c r="T328" s="16"/>
      <c r="U328" s="16">
        <v>0</v>
      </c>
      <c r="V328" s="16"/>
      <c r="W328" s="16">
        <v>810</v>
      </c>
      <c r="X328" s="16"/>
      <c r="Y328" s="16">
        <v>230809</v>
      </c>
      <c r="Z328" s="16"/>
      <c r="AA328" s="16">
        <v>0</v>
      </c>
      <c r="AB328" s="16"/>
      <c r="AC328" s="16">
        <v>3024</v>
      </c>
      <c r="AD328" s="16"/>
      <c r="AE328" s="16">
        <f t="shared" si="9"/>
        <v>603558</v>
      </c>
    </row>
    <row r="329" spans="1:31" ht="12.75" customHeight="1">
      <c r="A329" s="1" t="s">
        <v>549</v>
      </c>
      <c r="C329" s="1" t="s">
        <v>87</v>
      </c>
      <c r="E329" s="16">
        <v>58142</v>
      </c>
      <c r="F329" s="16"/>
      <c r="G329" s="16">
        <v>0</v>
      </c>
      <c r="H329" s="16"/>
      <c r="I329" s="16">
        <v>67427</v>
      </c>
      <c r="J329" s="16"/>
      <c r="K329" s="16">
        <v>0</v>
      </c>
      <c r="L329" s="16"/>
      <c r="M329" s="16">
        <v>0</v>
      </c>
      <c r="N329" s="16"/>
      <c r="O329" s="16">
        <v>890</v>
      </c>
      <c r="P329" s="16"/>
      <c r="Q329" s="16">
        <v>2840</v>
      </c>
      <c r="R329" s="16"/>
      <c r="S329" s="16">
        <v>17986</v>
      </c>
      <c r="T329" s="16"/>
      <c r="U329" s="16">
        <v>0</v>
      </c>
      <c r="V329" s="16"/>
      <c r="W329" s="16">
        <v>0</v>
      </c>
      <c r="X329" s="16"/>
      <c r="Y329" s="16">
        <v>0</v>
      </c>
      <c r="Z329" s="16"/>
      <c r="AA329" s="16">
        <v>22162</v>
      </c>
      <c r="AB329" s="16"/>
      <c r="AC329" s="16">
        <v>0</v>
      </c>
      <c r="AD329" s="16"/>
      <c r="AE329" s="16">
        <f t="shared" si="9"/>
        <v>169447</v>
      </c>
    </row>
    <row r="330" spans="1:31" s="16" customFormat="1" ht="12.75" customHeight="1">
      <c r="A330" s="16" t="s">
        <v>293</v>
      </c>
      <c r="B330" s="41"/>
      <c r="C330" s="16" t="s">
        <v>197</v>
      </c>
      <c r="E330" s="16">
        <v>122006</v>
      </c>
      <c r="G330" s="16">
        <v>800010</v>
      </c>
      <c r="I330" s="16">
        <v>431127</v>
      </c>
      <c r="K330" s="16">
        <v>82489</v>
      </c>
      <c r="M330" s="16">
        <v>23599</v>
      </c>
      <c r="O330" s="16">
        <v>180883</v>
      </c>
      <c r="Q330" s="16">
        <v>4054</v>
      </c>
      <c r="S330" s="16">
        <v>108098</v>
      </c>
      <c r="U330" s="16">
        <v>130000</v>
      </c>
      <c r="W330" s="16">
        <v>0</v>
      </c>
      <c r="Y330" s="16">
        <v>4427</v>
      </c>
      <c r="AA330" s="16">
        <v>0</v>
      </c>
      <c r="AC330" s="16">
        <v>0</v>
      </c>
      <c r="AE330" s="16">
        <f t="shared" si="9"/>
        <v>1886693</v>
      </c>
    </row>
    <row r="331" spans="1:31" ht="12.75" customHeight="1">
      <c r="A331" s="1" t="s">
        <v>743</v>
      </c>
      <c r="C331" s="1" t="s">
        <v>744</v>
      </c>
      <c r="E331" s="16">
        <v>13237</v>
      </c>
      <c r="F331" s="16"/>
      <c r="G331" s="16">
        <v>0</v>
      </c>
      <c r="H331" s="16"/>
      <c r="I331" s="16">
        <v>19780</v>
      </c>
      <c r="J331" s="16"/>
      <c r="K331" s="16">
        <v>0</v>
      </c>
      <c r="L331" s="16"/>
      <c r="M331" s="16">
        <v>0</v>
      </c>
      <c r="N331" s="16"/>
      <c r="O331" s="16">
        <v>42</v>
      </c>
      <c r="P331" s="16"/>
      <c r="Q331" s="16">
        <v>766</v>
      </c>
      <c r="R331" s="16"/>
      <c r="S331" s="16">
        <v>234</v>
      </c>
      <c r="T331" s="16"/>
      <c r="U331" s="16">
        <v>0</v>
      </c>
      <c r="V331" s="16"/>
      <c r="W331" s="16">
        <v>0</v>
      </c>
      <c r="X331" s="16"/>
      <c r="Y331" s="16">
        <v>0</v>
      </c>
      <c r="Z331" s="16"/>
      <c r="AA331" s="16">
        <v>0</v>
      </c>
      <c r="AB331" s="16"/>
      <c r="AC331" s="16">
        <v>0</v>
      </c>
      <c r="AD331" s="16"/>
      <c r="AE331" s="16">
        <f t="shared" si="9"/>
        <v>34059</v>
      </c>
    </row>
    <row r="332" spans="1:31" ht="12.75" customHeight="1">
      <c r="A332" s="1" t="s">
        <v>784</v>
      </c>
      <c r="B332" s="1"/>
      <c r="E332" s="1"/>
      <c r="F332" s="1"/>
      <c r="G332" s="1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20"/>
      <c r="AC332" s="16"/>
      <c r="AD332" s="20"/>
      <c r="AE332" s="32" t="s">
        <v>785</v>
      </c>
    </row>
    <row r="333" spans="1:31" s="36" customFormat="1" ht="12.75" customHeight="1">
      <c r="A333" s="36" t="s">
        <v>278</v>
      </c>
      <c r="C333" s="36" t="s">
        <v>106</v>
      </c>
      <c r="E333" s="36">
        <f>159059+7345</f>
        <v>166404</v>
      </c>
      <c r="G333" s="36">
        <v>0</v>
      </c>
      <c r="I333" s="36">
        <f>69186+26601</f>
        <v>95787</v>
      </c>
      <c r="K333" s="36">
        <v>0</v>
      </c>
      <c r="M333" s="36">
        <v>107895</v>
      </c>
      <c r="O333" s="36">
        <f>14932+495+1644</f>
        <v>17071</v>
      </c>
      <c r="Q333" s="36">
        <f>1137</f>
        <v>1137</v>
      </c>
      <c r="S333" s="36">
        <f>2056+851</f>
        <v>2907</v>
      </c>
      <c r="U333" s="36">
        <v>0</v>
      </c>
      <c r="W333" s="36">
        <v>0</v>
      </c>
      <c r="Y333" s="36">
        <v>4977</v>
      </c>
      <c r="AA333" s="36">
        <v>0</v>
      </c>
      <c r="AC333" s="36">
        <v>0</v>
      </c>
      <c r="AE333" s="36">
        <f aca="true" t="shared" si="10" ref="AE333:AE364">SUM(E333:AC333)</f>
        <v>396178</v>
      </c>
    </row>
    <row r="334" spans="1:31" ht="12.75" customHeight="1">
      <c r="A334" s="1" t="s">
        <v>754</v>
      </c>
      <c r="C334" s="1" t="s">
        <v>172</v>
      </c>
      <c r="E334" s="16">
        <v>64580</v>
      </c>
      <c r="F334" s="16"/>
      <c r="G334" s="16">
        <v>160792</v>
      </c>
      <c r="H334" s="16"/>
      <c r="I334" s="16">
        <v>88109</v>
      </c>
      <c r="J334" s="16"/>
      <c r="K334" s="16">
        <v>165315</v>
      </c>
      <c r="L334" s="16"/>
      <c r="M334" s="16">
        <v>0</v>
      </c>
      <c r="N334" s="16"/>
      <c r="O334" s="16">
        <v>4468</v>
      </c>
      <c r="P334" s="16"/>
      <c r="Q334" s="16">
        <v>1881</v>
      </c>
      <c r="R334" s="16"/>
      <c r="S334" s="16">
        <v>9310</v>
      </c>
      <c r="T334" s="16"/>
      <c r="U334" s="16">
        <v>0</v>
      </c>
      <c r="V334" s="16"/>
      <c r="W334" s="16">
        <v>0</v>
      </c>
      <c r="X334" s="16"/>
      <c r="Y334" s="16">
        <v>0</v>
      </c>
      <c r="Z334" s="16"/>
      <c r="AA334" s="16">
        <v>0</v>
      </c>
      <c r="AB334" s="16"/>
      <c r="AC334" s="16">
        <v>0</v>
      </c>
      <c r="AD334" s="16"/>
      <c r="AE334" s="16">
        <f t="shared" si="10"/>
        <v>494455</v>
      </c>
    </row>
    <row r="335" spans="1:31" ht="12.75" customHeight="1">
      <c r="A335" s="1" t="s">
        <v>586</v>
      </c>
      <c r="C335" s="1" t="s">
        <v>239</v>
      </c>
      <c r="E335" s="16">
        <v>7875</v>
      </c>
      <c r="F335" s="16"/>
      <c r="G335" s="16">
        <v>58896</v>
      </c>
      <c r="H335" s="16"/>
      <c r="I335" s="16">
        <v>51133</v>
      </c>
      <c r="J335" s="16"/>
      <c r="K335" s="16">
        <v>0</v>
      </c>
      <c r="L335" s="16"/>
      <c r="M335" s="16">
        <v>0</v>
      </c>
      <c r="N335" s="16"/>
      <c r="O335" s="16">
        <v>758</v>
      </c>
      <c r="P335" s="16"/>
      <c r="Q335" s="16">
        <v>2776</v>
      </c>
      <c r="R335" s="16"/>
      <c r="S335" s="16">
        <v>180</v>
      </c>
      <c r="T335" s="16"/>
      <c r="U335" s="16">
        <v>0</v>
      </c>
      <c r="V335" s="16"/>
      <c r="W335" s="16">
        <v>0</v>
      </c>
      <c r="X335" s="16"/>
      <c r="Y335" s="16">
        <v>50500</v>
      </c>
      <c r="Z335" s="16"/>
      <c r="AA335" s="16">
        <v>24500</v>
      </c>
      <c r="AB335" s="16"/>
      <c r="AC335" s="16">
        <v>542</v>
      </c>
      <c r="AD335" s="16"/>
      <c r="AE335" s="16">
        <f t="shared" si="10"/>
        <v>197160</v>
      </c>
    </row>
    <row r="336" spans="1:31" ht="12.75" customHeight="1">
      <c r="A336" s="1" t="s">
        <v>279</v>
      </c>
      <c r="B336" s="1"/>
      <c r="C336" s="1" t="s">
        <v>280</v>
      </c>
      <c r="D336" s="16"/>
      <c r="E336" s="16">
        <f>8910+13074</f>
        <v>21984</v>
      </c>
      <c r="F336" s="16"/>
      <c r="G336" s="16">
        <v>86463</v>
      </c>
      <c r="H336" s="16"/>
      <c r="I336" s="16">
        <f>60365+108055+233766</f>
        <v>402186</v>
      </c>
      <c r="J336" s="16"/>
      <c r="K336" s="16">
        <v>0</v>
      </c>
      <c r="L336" s="16"/>
      <c r="M336" s="16">
        <v>0</v>
      </c>
      <c r="N336" s="16"/>
      <c r="O336" s="16">
        <f>7453+427</f>
        <v>7880</v>
      </c>
      <c r="P336" s="16"/>
      <c r="Q336" s="16">
        <f>908+370</f>
        <v>1278</v>
      </c>
      <c r="R336" s="16"/>
      <c r="S336" s="16">
        <f>1550+21</f>
        <v>1571</v>
      </c>
      <c r="T336" s="16"/>
      <c r="U336" s="16">
        <v>0</v>
      </c>
      <c r="V336" s="16"/>
      <c r="W336" s="16">
        <v>1175</v>
      </c>
      <c r="X336" s="16"/>
      <c r="Y336" s="16">
        <v>36393</v>
      </c>
      <c r="Z336" s="16"/>
      <c r="AA336" s="16">
        <v>0</v>
      </c>
      <c r="AB336" s="16"/>
      <c r="AC336" s="16">
        <v>0</v>
      </c>
      <c r="AD336" s="16"/>
      <c r="AE336" s="16">
        <f t="shared" si="10"/>
        <v>558930</v>
      </c>
    </row>
    <row r="337" spans="1:31" ht="12.75" customHeight="1">
      <c r="A337" s="1" t="s">
        <v>483</v>
      </c>
      <c r="C337" s="1" t="s">
        <v>153</v>
      </c>
      <c r="E337" s="16">
        <v>67168</v>
      </c>
      <c r="F337" s="16"/>
      <c r="G337" s="16">
        <v>175631</v>
      </c>
      <c r="H337" s="16"/>
      <c r="I337" s="16">
        <v>111527</v>
      </c>
      <c r="J337" s="16"/>
      <c r="K337" s="16">
        <v>0</v>
      </c>
      <c r="L337" s="16"/>
      <c r="M337" s="16">
        <v>36197</v>
      </c>
      <c r="N337" s="16"/>
      <c r="O337" s="16">
        <v>37479</v>
      </c>
      <c r="P337" s="16"/>
      <c r="Q337" s="16">
        <v>896</v>
      </c>
      <c r="R337" s="16"/>
      <c r="S337" s="16">
        <v>4294</v>
      </c>
      <c r="T337" s="16"/>
      <c r="U337" s="16">
        <v>0</v>
      </c>
      <c r="V337" s="16"/>
      <c r="W337" s="16">
        <v>0</v>
      </c>
      <c r="X337" s="16"/>
      <c r="Y337" s="16">
        <v>33861</v>
      </c>
      <c r="Z337" s="16"/>
      <c r="AA337" s="16">
        <v>17400</v>
      </c>
      <c r="AB337" s="16"/>
      <c r="AC337" s="16">
        <v>0</v>
      </c>
      <c r="AD337" s="16"/>
      <c r="AE337" s="16">
        <f t="shared" si="10"/>
        <v>484453</v>
      </c>
    </row>
    <row r="338" spans="1:31" ht="12.75" customHeight="1">
      <c r="A338" s="1" t="s">
        <v>443</v>
      </c>
      <c r="B338" s="1"/>
      <c r="C338" s="1" t="s">
        <v>346</v>
      </c>
      <c r="E338" s="16">
        <v>169299</v>
      </c>
      <c r="F338" s="16"/>
      <c r="G338" s="16">
        <v>0</v>
      </c>
      <c r="H338" s="16"/>
      <c r="I338" s="16">
        <v>113106</v>
      </c>
      <c r="J338" s="16"/>
      <c r="K338" s="16">
        <v>48852</v>
      </c>
      <c r="L338" s="16"/>
      <c r="M338" s="16">
        <v>9756</v>
      </c>
      <c r="N338" s="16"/>
      <c r="O338" s="16">
        <v>38315</v>
      </c>
      <c r="P338" s="16"/>
      <c r="Q338" s="16">
        <v>73</v>
      </c>
      <c r="R338" s="16"/>
      <c r="S338" s="16">
        <v>36604</v>
      </c>
      <c r="T338" s="16"/>
      <c r="U338" s="16">
        <v>0</v>
      </c>
      <c r="V338" s="16"/>
      <c r="W338" s="16">
        <v>0</v>
      </c>
      <c r="X338" s="16"/>
      <c r="Y338" s="16">
        <v>99940</v>
      </c>
      <c r="Z338" s="16"/>
      <c r="AA338" s="16">
        <v>30000</v>
      </c>
      <c r="AB338" s="16"/>
      <c r="AC338" s="16">
        <v>0</v>
      </c>
      <c r="AD338" s="16"/>
      <c r="AE338" s="16">
        <f t="shared" si="10"/>
        <v>545945</v>
      </c>
    </row>
    <row r="339" spans="1:31" ht="12.75" customHeight="1">
      <c r="A339" s="1" t="s">
        <v>692</v>
      </c>
      <c r="C339" s="1" t="s">
        <v>137</v>
      </c>
      <c r="E339" s="16">
        <v>75911</v>
      </c>
      <c r="F339" s="16"/>
      <c r="G339" s="16">
        <v>629066</v>
      </c>
      <c r="H339" s="16"/>
      <c r="I339" s="16">
        <v>343520</v>
      </c>
      <c r="J339" s="16"/>
      <c r="K339" s="16">
        <v>2417</v>
      </c>
      <c r="L339" s="16"/>
      <c r="M339" s="16">
        <v>63281</v>
      </c>
      <c r="N339" s="16"/>
      <c r="O339" s="16">
        <v>18704</v>
      </c>
      <c r="P339" s="16"/>
      <c r="Q339" s="16">
        <v>19420</v>
      </c>
      <c r="R339" s="16"/>
      <c r="S339" s="16">
        <v>3609</v>
      </c>
      <c r="T339" s="16"/>
      <c r="U339" s="16">
        <v>400000</v>
      </c>
      <c r="V339" s="16"/>
      <c r="W339" s="16">
        <v>0</v>
      </c>
      <c r="X339" s="16"/>
      <c r="Y339" s="16">
        <v>318432</v>
      </c>
      <c r="Z339" s="16"/>
      <c r="AA339" s="16">
        <v>0</v>
      </c>
      <c r="AB339" s="16"/>
      <c r="AC339" s="16">
        <v>100</v>
      </c>
      <c r="AD339" s="16"/>
      <c r="AE339" s="16">
        <f t="shared" si="10"/>
        <v>1874460</v>
      </c>
    </row>
    <row r="340" spans="1:31" ht="12.75" customHeight="1">
      <c r="A340" s="1" t="s">
        <v>544</v>
      </c>
      <c r="C340" s="1" t="s">
        <v>149</v>
      </c>
      <c r="E340" s="16">
        <v>14503</v>
      </c>
      <c r="F340" s="16"/>
      <c r="G340" s="16">
        <v>1425823</v>
      </c>
      <c r="H340" s="16"/>
      <c r="I340" s="16">
        <v>77949</v>
      </c>
      <c r="J340" s="16"/>
      <c r="K340" s="16">
        <v>0</v>
      </c>
      <c r="L340" s="16"/>
      <c r="M340" s="16">
        <v>0</v>
      </c>
      <c r="N340" s="16"/>
      <c r="O340" s="16">
        <v>43151</v>
      </c>
      <c r="P340" s="16"/>
      <c r="Q340" s="16">
        <v>21529</v>
      </c>
      <c r="R340" s="16"/>
      <c r="S340" s="16">
        <v>376262</v>
      </c>
      <c r="T340" s="16"/>
      <c r="U340" s="16">
        <v>0</v>
      </c>
      <c r="V340" s="16"/>
      <c r="W340" s="16">
        <v>0</v>
      </c>
      <c r="X340" s="16"/>
      <c r="Y340" s="16">
        <v>358291</v>
      </c>
      <c r="Z340" s="16"/>
      <c r="AA340" s="16">
        <v>0</v>
      </c>
      <c r="AB340" s="16"/>
      <c r="AC340" s="16">
        <v>0</v>
      </c>
      <c r="AD340" s="16"/>
      <c r="AE340" s="16">
        <f t="shared" si="10"/>
        <v>2317508</v>
      </c>
    </row>
    <row r="341" spans="1:31" ht="12.75" customHeight="1">
      <c r="A341" s="1" t="s">
        <v>675</v>
      </c>
      <c r="C341" s="1" t="s">
        <v>215</v>
      </c>
      <c r="E341" s="16">
        <v>337334</v>
      </c>
      <c r="F341" s="16"/>
      <c r="G341" s="16">
        <v>579</v>
      </c>
      <c r="H341" s="16"/>
      <c r="I341" s="16">
        <v>144308</v>
      </c>
      <c r="J341" s="16"/>
      <c r="K341" s="16">
        <v>0</v>
      </c>
      <c r="L341" s="16"/>
      <c r="M341" s="16">
        <v>177000</v>
      </c>
      <c r="N341" s="16"/>
      <c r="O341" s="16">
        <v>21786</v>
      </c>
      <c r="P341" s="16"/>
      <c r="Q341" s="16">
        <v>1160</v>
      </c>
      <c r="R341" s="16"/>
      <c r="S341" s="16">
        <v>83005</v>
      </c>
      <c r="T341" s="16"/>
      <c r="U341" s="16">
        <v>0</v>
      </c>
      <c r="V341" s="16"/>
      <c r="W341" s="16">
        <v>17017</v>
      </c>
      <c r="X341" s="16"/>
      <c r="Y341" s="16">
        <v>46000</v>
      </c>
      <c r="Z341" s="16"/>
      <c r="AA341" s="16">
        <v>0</v>
      </c>
      <c r="AB341" s="16"/>
      <c r="AC341" s="16">
        <v>0</v>
      </c>
      <c r="AD341" s="16"/>
      <c r="AE341" s="16">
        <f t="shared" si="10"/>
        <v>828189</v>
      </c>
    </row>
    <row r="342" spans="1:31" ht="12.75" customHeight="1">
      <c r="A342" s="1" t="s">
        <v>667</v>
      </c>
      <c r="C342" s="1" t="s">
        <v>309</v>
      </c>
      <c r="E342" s="16">
        <v>16246</v>
      </c>
      <c r="F342" s="16"/>
      <c r="G342" s="16">
        <v>0</v>
      </c>
      <c r="H342" s="16"/>
      <c r="I342" s="16">
        <v>48739</v>
      </c>
      <c r="J342" s="16"/>
      <c r="K342" s="16">
        <v>0</v>
      </c>
      <c r="L342" s="16"/>
      <c r="M342" s="16">
        <v>0</v>
      </c>
      <c r="N342" s="16"/>
      <c r="O342" s="16">
        <v>1194</v>
      </c>
      <c r="P342" s="16"/>
      <c r="Q342" s="16">
        <v>714</v>
      </c>
      <c r="R342" s="16"/>
      <c r="S342" s="16">
        <v>0</v>
      </c>
      <c r="T342" s="16"/>
      <c r="U342" s="16">
        <v>0</v>
      </c>
      <c r="V342" s="16"/>
      <c r="W342" s="16">
        <v>0</v>
      </c>
      <c r="X342" s="16"/>
      <c r="Y342" s="16">
        <v>0</v>
      </c>
      <c r="Z342" s="16"/>
      <c r="AA342" s="16">
        <v>0</v>
      </c>
      <c r="AB342" s="16"/>
      <c r="AC342" s="16">
        <v>0</v>
      </c>
      <c r="AD342" s="16"/>
      <c r="AE342" s="16">
        <f t="shared" si="10"/>
        <v>66893</v>
      </c>
    </row>
    <row r="343" spans="1:31" ht="12.75" customHeight="1">
      <c r="A343" s="1" t="s">
        <v>281</v>
      </c>
      <c r="B343" s="1"/>
      <c r="C343" s="1" t="s">
        <v>73</v>
      </c>
      <c r="D343" s="16"/>
      <c r="E343" s="16">
        <f>888789</f>
        <v>888789</v>
      </c>
      <c r="F343" s="16"/>
      <c r="G343" s="16">
        <v>1508287</v>
      </c>
      <c r="H343" s="16"/>
      <c r="I343" s="16">
        <f>505224</f>
        <v>505224</v>
      </c>
      <c r="J343" s="16"/>
      <c r="K343" s="16">
        <v>0</v>
      </c>
      <c r="L343" s="16"/>
      <c r="M343" s="16">
        <v>298445</v>
      </c>
      <c r="N343" s="16"/>
      <c r="O343" s="16">
        <f>178091+5811</f>
        <v>183902</v>
      </c>
      <c r="P343" s="16"/>
      <c r="Q343" s="16">
        <f>21811</f>
        <v>21811</v>
      </c>
      <c r="R343" s="16"/>
      <c r="S343" s="16">
        <f>58043+247628+7492</f>
        <v>313163</v>
      </c>
      <c r="T343" s="16"/>
      <c r="U343" s="16">
        <v>0</v>
      </c>
      <c r="V343" s="16"/>
      <c r="W343" s="16">
        <v>0</v>
      </c>
      <c r="X343" s="16"/>
      <c r="Y343" s="16">
        <v>0</v>
      </c>
      <c r="Z343" s="16"/>
      <c r="AA343" s="16">
        <v>0</v>
      </c>
      <c r="AB343" s="16"/>
      <c r="AC343" s="16">
        <v>0</v>
      </c>
      <c r="AD343" s="16"/>
      <c r="AE343" s="16">
        <f t="shared" si="10"/>
        <v>3719621</v>
      </c>
    </row>
    <row r="344" spans="1:31" ht="12.75" customHeight="1">
      <c r="A344" s="1" t="s">
        <v>282</v>
      </c>
      <c r="B344" s="1"/>
      <c r="C344" s="1" t="s">
        <v>120</v>
      </c>
      <c r="D344" s="16"/>
      <c r="E344" s="16">
        <v>1752</v>
      </c>
      <c r="F344" s="16"/>
      <c r="G344" s="16">
        <f>29779+7181</f>
        <v>36960</v>
      </c>
      <c r="H344" s="16"/>
      <c r="I344" s="16">
        <v>0</v>
      </c>
      <c r="J344" s="16"/>
      <c r="K344" s="16">
        <v>0</v>
      </c>
      <c r="L344" s="16"/>
      <c r="M344" s="16">
        <v>0</v>
      </c>
      <c r="N344" s="16"/>
      <c r="O344" s="16">
        <v>0</v>
      </c>
      <c r="P344" s="16"/>
      <c r="Q344" s="16">
        <v>0</v>
      </c>
      <c r="R344" s="16"/>
      <c r="S344" s="16">
        <v>353</v>
      </c>
      <c r="T344" s="16"/>
      <c r="U344" s="16">
        <v>0</v>
      </c>
      <c r="V344" s="16"/>
      <c r="W344" s="16">
        <v>0</v>
      </c>
      <c r="X344" s="16"/>
      <c r="Y344" s="16">
        <v>0</v>
      </c>
      <c r="Z344" s="16"/>
      <c r="AA344" s="16">
        <v>0</v>
      </c>
      <c r="AB344" s="16"/>
      <c r="AC344" s="16">
        <v>0</v>
      </c>
      <c r="AD344" s="16"/>
      <c r="AE344" s="16">
        <f t="shared" si="10"/>
        <v>39065</v>
      </c>
    </row>
    <row r="345" spans="1:31" ht="12.75" customHeight="1">
      <c r="A345" s="1" t="s">
        <v>283</v>
      </c>
      <c r="B345" s="1"/>
      <c r="C345" s="1" t="s">
        <v>151</v>
      </c>
      <c r="D345" s="16"/>
      <c r="E345" s="16">
        <v>5529</v>
      </c>
      <c r="F345" s="16"/>
      <c r="G345" s="16">
        <v>0</v>
      </c>
      <c r="H345" s="16"/>
      <c r="I345" s="16">
        <f>737+2305</f>
        <v>3042</v>
      </c>
      <c r="J345" s="16"/>
      <c r="K345" s="16">
        <v>0</v>
      </c>
      <c r="L345" s="16"/>
      <c r="M345" s="16">
        <v>0</v>
      </c>
      <c r="N345" s="16"/>
      <c r="O345" s="16">
        <v>0</v>
      </c>
      <c r="P345" s="16"/>
      <c r="Q345" s="16">
        <f>121</f>
        <v>121</v>
      </c>
      <c r="R345" s="16"/>
      <c r="S345" s="16">
        <f>192+44</f>
        <v>236</v>
      </c>
      <c r="T345" s="16"/>
      <c r="U345" s="16">
        <v>0</v>
      </c>
      <c r="V345" s="16"/>
      <c r="W345" s="16">
        <v>0</v>
      </c>
      <c r="X345" s="16"/>
      <c r="Y345" s="16">
        <v>0</v>
      </c>
      <c r="Z345" s="16"/>
      <c r="AA345" s="16">
        <v>0</v>
      </c>
      <c r="AB345" s="16"/>
      <c r="AC345" s="16">
        <v>0</v>
      </c>
      <c r="AD345" s="16"/>
      <c r="AE345" s="16">
        <f t="shared" si="10"/>
        <v>8928</v>
      </c>
    </row>
    <row r="346" spans="1:31" ht="12.75" customHeight="1">
      <c r="A346" s="1" t="s">
        <v>284</v>
      </c>
      <c r="B346" s="1"/>
      <c r="C346" s="1" t="s">
        <v>84</v>
      </c>
      <c r="E346" s="16">
        <v>37521</v>
      </c>
      <c r="F346" s="16"/>
      <c r="G346" s="16">
        <v>50047</v>
      </c>
      <c r="H346" s="16"/>
      <c r="I346" s="16">
        <v>63365</v>
      </c>
      <c r="J346" s="16"/>
      <c r="K346" s="16">
        <v>0</v>
      </c>
      <c r="L346" s="16"/>
      <c r="M346" s="16">
        <v>39328</v>
      </c>
      <c r="N346" s="16"/>
      <c r="O346" s="16">
        <v>1394</v>
      </c>
      <c r="P346" s="16"/>
      <c r="Q346" s="16">
        <v>7689</v>
      </c>
      <c r="R346" s="16"/>
      <c r="S346" s="16">
        <v>111644</v>
      </c>
      <c r="T346" s="16"/>
      <c r="U346" s="16">
        <v>0</v>
      </c>
      <c r="V346" s="16"/>
      <c r="W346" s="16">
        <v>0</v>
      </c>
      <c r="X346" s="16"/>
      <c r="Y346" s="16">
        <v>32281</v>
      </c>
      <c r="Z346" s="16"/>
      <c r="AA346" s="16">
        <v>0</v>
      </c>
      <c r="AB346" s="16"/>
      <c r="AC346" s="16">
        <v>0</v>
      </c>
      <c r="AD346" s="16"/>
      <c r="AE346" s="16">
        <f t="shared" si="10"/>
        <v>343269</v>
      </c>
    </row>
    <row r="347" spans="1:31" ht="12.75" customHeight="1">
      <c r="A347" s="1" t="s">
        <v>606</v>
      </c>
      <c r="C347" s="1" t="s">
        <v>182</v>
      </c>
      <c r="E347" s="16">
        <v>15419</v>
      </c>
      <c r="F347" s="16"/>
      <c r="G347" s="16">
        <v>0</v>
      </c>
      <c r="H347" s="16"/>
      <c r="I347" s="16">
        <v>20725</v>
      </c>
      <c r="J347" s="16"/>
      <c r="K347" s="16">
        <v>0</v>
      </c>
      <c r="L347" s="16"/>
      <c r="M347" s="16">
        <v>0</v>
      </c>
      <c r="N347" s="16"/>
      <c r="O347" s="16">
        <v>0</v>
      </c>
      <c r="P347" s="16"/>
      <c r="Q347" s="16">
        <v>92</v>
      </c>
      <c r="R347" s="16"/>
      <c r="S347" s="16">
        <v>638</v>
      </c>
      <c r="T347" s="16"/>
      <c r="U347" s="16">
        <v>0</v>
      </c>
      <c r="V347" s="16"/>
      <c r="W347" s="16">
        <v>0</v>
      </c>
      <c r="X347" s="16"/>
      <c r="Y347" s="16">
        <v>0</v>
      </c>
      <c r="Z347" s="16"/>
      <c r="AA347" s="16">
        <v>0</v>
      </c>
      <c r="AB347" s="16"/>
      <c r="AC347" s="16">
        <v>0</v>
      </c>
      <c r="AD347" s="16"/>
      <c r="AE347" s="16">
        <f t="shared" si="10"/>
        <v>36874</v>
      </c>
    </row>
    <row r="348" spans="1:31" ht="12.75" customHeight="1">
      <c r="A348" s="1" t="s">
        <v>500</v>
      </c>
      <c r="C348" s="1" t="s">
        <v>122</v>
      </c>
      <c r="E348" s="16">
        <v>13159</v>
      </c>
      <c r="F348" s="16"/>
      <c r="G348" s="16">
        <v>0</v>
      </c>
      <c r="H348" s="16"/>
      <c r="I348" s="16">
        <v>39949</v>
      </c>
      <c r="J348" s="16"/>
      <c r="K348" s="16">
        <v>8712</v>
      </c>
      <c r="L348" s="16"/>
      <c r="M348" s="16">
        <v>0</v>
      </c>
      <c r="N348" s="16"/>
      <c r="O348" s="16">
        <v>2040</v>
      </c>
      <c r="P348" s="16"/>
      <c r="Q348" s="16">
        <v>250</v>
      </c>
      <c r="R348" s="16"/>
      <c r="S348" s="16">
        <v>67</v>
      </c>
      <c r="T348" s="16"/>
      <c r="U348" s="16">
        <v>0</v>
      </c>
      <c r="V348" s="16"/>
      <c r="W348" s="16">
        <v>0</v>
      </c>
      <c r="X348" s="16"/>
      <c r="Y348" s="16">
        <v>9126</v>
      </c>
      <c r="Z348" s="16"/>
      <c r="AA348" s="16">
        <v>0</v>
      </c>
      <c r="AB348" s="16"/>
      <c r="AC348" s="16">
        <v>0</v>
      </c>
      <c r="AD348" s="16"/>
      <c r="AE348" s="16">
        <f t="shared" si="10"/>
        <v>73303</v>
      </c>
    </row>
    <row r="349" spans="1:31" ht="12.75" customHeight="1">
      <c r="A349" s="1" t="s">
        <v>759</v>
      </c>
      <c r="C349" s="1" t="s">
        <v>120</v>
      </c>
      <c r="E349" s="16">
        <v>36527</v>
      </c>
      <c r="F349" s="16"/>
      <c r="G349" s="16">
        <v>0</v>
      </c>
      <c r="H349" s="16"/>
      <c r="I349" s="16">
        <v>85921</v>
      </c>
      <c r="J349" s="16"/>
      <c r="K349" s="16">
        <v>200</v>
      </c>
      <c r="L349" s="16"/>
      <c r="M349" s="16">
        <v>0</v>
      </c>
      <c r="N349" s="16"/>
      <c r="O349" s="16">
        <v>7425</v>
      </c>
      <c r="P349" s="16"/>
      <c r="Q349" s="16">
        <v>2256</v>
      </c>
      <c r="R349" s="16"/>
      <c r="S349" s="16">
        <v>9842</v>
      </c>
      <c r="T349" s="16"/>
      <c r="U349" s="16">
        <v>0</v>
      </c>
      <c r="V349" s="16"/>
      <c r="W349" s="16">
        <v>0</v>
      </c>
      <c r="X349" s="16"/>
      <c r="Y349" s="16">
        <v>0</v>
      </c>
      <c r="Z349" s="16"/>
      <c r="AA349" s="16">
        <v>0</v>
      </c>
      <c r="AB349" s="16"/>
      <c r="AC349" s="16">
        <v>136</v>
      </c>
      <c r="AD349" s="16"/>
      <c r="AE349" s="16">
        <f t="shared" si="10"/>
        <v>142307</v>
      </c>
    </row>
    <row r="350" spans="1:31" ht="12.75" customHeight="1">
      <c r="A350" s="1" t="s">
        <v>285</v>
      </c>
      <c r="B350" s="1"/>
      <c r="C350" s="1" t="s">
        <v>112</v>
      </c>
      <c r="D350" s="16"/>
      <c r="E350" s="16">
        <f>10482792</f>
        <v>10482792</v>
      </c>
      <c r="F350" s="16"/>
      <c r="G350" s="16">
        <v>0</v>
      </c>
      <c r="H350" s="16"/>
      <c r="I350" s="16">
        <v>5317986</v>
      </c>
      <c r="J350" s="16"/>
      <c r="K350" s="16">
        <v>199673</v>
      </c>
      <c r="L350" s="16"/>
      <c r="M350" s="16">
        <v>445429</v>
      </c>
      <c r="N350" s="16"/>
      <c r="O350" s="16">
        <v>251213</v>
      </c>
      <c r="P350" s="16"/>
      <c r="Q350" s="16">
        <v>47597</v>
      </c>
      <c r="R350" s="16"/>
      <c r="S350" s="16">
        <v>131346</v>
      </c>
      <c r="T350" s="16"/>
      <c r="U350" s="16">
        <v>5252047</v>
      </c>
      <c r="V350" s="16"/>
      <c r="W350" s="16">
        <v>37827</v>
      </c>
      <c r="X350" s="16"/>
      <c r="Y350" s="16">
        <v>1975000</v>
      </c>
      <c r="Z350" s="16"/>
      <c r="AA350" s="16">
        <v>0</v>
      </c>
      <c r="AB350" s="16"/>
      <c r="AC350" s="16">
        <v>131830</v>
      </c>
      <c r="AD350" s="16"/>
      <c r="AE350" s="16">
        <f t="shared" si="10"/>
        <v>24272740</v>
      </c>
    </row>
    <row r="351" spans="1:31" ht="12.75" customHeight="1">
      <c r="A351" s="1" t="s">
        <v>286</v>
      </c>
      <c r="B351" s="1"/>
      <c r="C351" s="1" t="s">
        <v>236</v>
      </c>
      <c r="E351" s="16">
        <f>106284+100243</f>
        <v>206527</v>
      </c>
      <c r="F351" s="16"/>
      <c r="G351" s="16">
        <v>0</v>
      </c>
      <c r="H351" s="16"/>
      <c r="I351" s="16">
        <f>79176+193027</f>
        <v>272203</v>
      </c>
      <c r="J351" s="16"/>
      <c r="K351" s="16">
        <v>0</v>
      </c>
      <c r="L351" s="16"/>
      <c r="M351" s="16">
        <v>25806</v>
      </c>
      <c r="N351" s="16"/>
      <c r="O351" s="16">
        <f>53288+270</f>
        <v>53558</v>
      </c>
      <c r="P351" s="16"/>
      <c r="Q351" s="16">
        <f>194+142</f>
        <v>336</v>
      </c>
      <c r="R351" s="16"/>
      <c r="S351" s="16">
        <f>41379+7487</f>
        <v>48866</v>
      </c>
      <c r="T351" s="16"/>
      <c r="U351" s="16">
        <v>0</v>
      </c>
      <c r="V351" s="16"/>
      <c r="W351" s="16">
        <v>0</v>
      </c>
      <c r="X351" s="16"/>
      <c r="Y351" s="16">
        <v>41622</v>
      </c>
      <c r="Z351" s="16"/>
      <c r="AA351" s="16">
        <v>0</v>
      </c>
      <c r="AB351" s="16"/>
      <c r="AC351" s="16">
        <v>631</v>
      </c>
      <c r="AD351" s="16"/>
      <c r="AE351" s="16">
        <f t="shared" si="10"/>
        <v>649549</v>
      </c>
    </row>
    <row r="352" spans="1:31" ht="12.75" customHeight="1">
      <c r="A352" s="1" t="s">
        <v>791</v>
      </c>
      <c r="C352" s="1" t="s">
        <v>280</v>
      </c>
      <c r="E352" s="16">
        <v>83642</v>
      </c>
      <c r="F352" s="16"/>
      <c r="G352" s="16">
        <v>329783</v>
      </c>
      <c r="H352" s="16"/>
      <c r="I352" s="16">
        <v>255327</v>
      </c>
      <c r="J352" s="16"/>
      <c r="K352" s="16">
        <v>0</v>
      </c>
      <c r="L352" s="16"/>
      <c r="M352" s="16">
        <v>20457</v>
      </c>
      <c r="N352" s="16"/>
      <c r="O352" s="16">
        <v>44598</v>
      </c>
      <c r="P352" s="16"/>
      <c r="Q352" s="16">
        <v>13675</v>
      </c>
      <c r="R352" s="16"/>
      <c r="S352" s="16">
        <v>25964</v>
      </c>
      <c r="T352" s="16"/>
      <c r="U352" s="16">
        <v>0</v>
      </c>
      <c r="V352" s="16"/>
      <c r="W352" s="16">
        <v>0</v>
      </c>
      <c r="X352" s="16"/>
      <c r="Y352" s="16">
        <v>0</v>
      </c>
      <c r="Z352" s="16"/>
      <c r="AA352" s="16">
        <v>0</v>
      </c>
      <c r="AB352" s="16"/>
      <c r="AC352" s="16">
        <v>0</v>
      </c>
      <c r="AD352" s="16"/>
      <c r="AE352" s="16">
        <f t="shared" si="10"/>
        <v>773446</v>
      </c>
    </row>
    <row r="353" spans="1:31" ht="12.75" customHeight="1">
      <c r="A353" s="1" t="s">
        <v>788</v>
      </c>
      <c r="C353" s="1" t="s">
        <v>239</v>
      </c>
      <c r="E353" s="16">
        <v>32876</v>
      </c>
      <c r="F353" s="16"/>
      <c r="G353" s="16">
        <v>71355</v>
      </c>
      <c r="H353" s="16"/>
      <c r="I353" s="16">
        <v>69847</v>
      </c>
      <c r="J353" s="16"/>
      <c r="K353" s="16">
        <v>0</v>
      </c>
      <c r="L353" s="16"/>
      <c r="M353" s="16">
        <v>484</v>
      </c>
      <c r="N353" s="16"/>
      <c r="O353" s="16">
        <v>460</v>
      </c>
      <c r="P353" s="16"/>
      <c r="Q353" s="16">
        <v>501</v>
      </c>
      <c r="R353" s="16"/>
      <c r="S353" s="16">
        <v>1739</v>
      </c>
      <c r="T353" s="16"/>
      <c r="U353" s="16">
        <v>0</v>
      </c>
      <c r="V353" s="16"/>
      <c r="W353" s="16">
        <v>0</v>
      </c>
      <c r="X353" s="16"/>
      <c r="Y353" s="16">
        <v>20855</v>
      </c>
      <c r="Z353" s="16"/>
      <c r="AA353" s="16">
        <v>0</v>
      </c>
      <c r="AB353" s="16"/>
      <c r="AC353" s="16">
        <v>116</v>
      </c>
      <c r="AD353" s="16"/>
      <c r="AE353" s="16">
        <f t="shared" si="10"/>
        <v>198233</v>
      </c>
    </row>
    <row r="354" spans="1:31" ht="12.75" customHeight="1">
      <c r="A354" s="1" t="s">
        <v>287</v>
      </c>
      <c r="B354" s="1"/>
      <c r="C354" s="1" t="s">
        <v>114</v>
      </c>
      <c r="D354" s="16"/>
      <c r="E354" s="16">
        <v>298106</v>
      </c>
      <c r="F354" s="16"/>
      <c r="G354" s="16">
        <v>539852</v>
      </c>
      <c r="H354" s="16"/>
      <c r="I354" s="16">
        <v>63431</v>
      </c>
      <c r="J354" s="16"/>
      <c r="K354" s="16">
        <v>32118</v>
      </c>
      <c r="L354" s="16"/>
      <c r="M354" s="16">
        <v>14438</v>
      </c>
      <c r="N354" s="16"/>
      <c r="O354" s="16">
        <v>11826</v>
      </c>
      <c r="P354" s="16"/>
      <c r="Q354" s="16">
        <v>46195</v>
      </c>
      <c r="R354" s="16"/>
      <c r="S354" s="16">
        <v>685</v>
      </c>
      <c r="T354" s="16"/>
      <c r="U354" s="16">
        <v>0</v>
      </c>
      <c r="V354" s="16"/>
      <c r="W354" s="16">
        <v>0</v>
      </c>
      <c r="X354" s="16"/>
      <c r="Y354" s="16">
        <v>8640</v>
      </c>
      <c r="Z354" s="16"/>
      <c r="AA354" s="16">
        <v>0</v>
      </c>
      <c r="AB354" s="16"/>
      <c r="AC354" s="16">
        <v>0</v>
      </c>
      <c r="AD354" s="16"/>
      <c r="AE354" s="16">
        <f t="shared" si="10"/>
        <v>1015291</v>
      </c>
    </row>
    <row r="355" spans="1:31" ht="12.75" customHeight="1">
      <c r="A355" s="1" t="s">
        <v>288</v>
      </c>
      <c r="B355" s="1"/>
      <c r="C355" s="1" t="s">
        <v>276</v>
      </c>
      <c r="D355" s="16"/>
      <c r="E355" s="16">
        <f>156416+11804</f>
        <v>168220</v>
      </c>
      <c r="F355" s="16"/>
      <c r="G355" s="16">
        <v>880777</v>
      </c>
      <c r="H355" s="16"/>
      <c r="I355" s="16">
        <f>97501+101024+7569</f>
        <v>206094</v>
      </c>
      <c r="J355" s="16"/>
      <c r="K355" s="16">
        <f>0</f>
        <v>0</v>
      </c>
      <c r="L355" s="16"/>
      <c r="M355" s="16">
        <f>15097+24314</f>
        <v>39411</v>
      </c>
      <c r="N355" s="16"/>
      <c r="O355" s="16">
        <f>44194+4715</f>
        <v>48909</v>
      </c>
      <c r="P355" s="16"/>
      <c r="Q355" s="16">
        <f>26408+35882</f>
        <v>62290</v>
      </c>
      <c r="R355" s="16"/>
      <c r="S355" s="16">
        <f>34373+306900+2617</f>
        <v>343890</v>
      </c>
      <c r="T355" s="16"/>
      <c r="U355" s="16">
        <v>0</v>
      </c>
      <c r="V355" s="16"/>
      <c r="W355" s="16">
        <v>0</v>
      </c>
      <c r="X355" s="16"/>
      <c r="Y355" s="16">
        <v>791494</v>
      </c>
      <c r="Z355" s="16"/>
      <c r="AA355" s="16">
        <v>0</v>
      </c>
      <c r="AB355" s="16"/>
      <c r="AC355" s="16">
        <v>14443</v>
      </c>
      <c r="AD355" s="16"/>
      <c r="AE355" s="16">
        <f t="shared" si="10"/>
        <v>2555528</v>
      </c>
    </row>
    <row r="356" spans="1:31" ht="12.75" customHeight="1">
      <c r="A356" s="1" t="s">
        <v>790</v>
      </c>
      <c r="B356" s="1"/>
      <c r="C356" s="1" t="s">
        <v>65</v>
      </c>
      <c r="D356" s="16"/>
      <c r="E356" s="16">
        <f>7052</f>
        <v>7052</v>
      </c>
      <c r="F356" s="16"/>
      <c r="G356" s="16">
        <v>51250</v>
      </c>
      <c r="H356" s="16"/>
      <c r="I356" s="16">
        <f>16507+18764+123490</f>
        <v>158761</v>
      </c>
      <c r="J356" s="16"/>
      <c r="K356" s="16">
        <v>5095</v>
      </c>
      <c r="L356" s="16"/>
      <c r="M356" s="16">
        <v>1692</v>
      </c>
      <c r="N356" s="16"/>
      <c r="O356" s="16">
        <v>0</v>
      </c>
      <c r="P356" s="16"/>
      <c r="Q356" s="16">
        <f>1448+41</f>
        <v>1489</v>
      </c>
      <c r="R356" s="16"/>
      <c r="S356" s="16">
        <f>7360+807+68768</f>
        <v>76935</v>
      </c>
      <c r="T356" s="16"/>
      <c r="U356" s="16">
        <v>0</v>
      </c>
      <c r="V356" s="16"/>
      <c r="W356" s="16">
        <v>200</v>
      </c>
      <c r="X356" s="16"/>
      <c r="Y356" s="16">
        <v>0</v>
      </c>
      <c r="Z356" s="16"/>
      <c r="AA356" s="16">
        <v>0</v>
      </c>
      <c r="AB356" s="16"/>
      <c r="AC356" s="16">
        <v>0</v>
      </c>
      <c r="AD356" s="16"/>
      <c r="AE356" s="16">
        <f t="shared" si="10"/>
        <v>302474</v>
      </c>
    </row>
    <row r="357" spans="1:31" ht="12.75" customHeight="1">
      <c r="A357" s="1" t="s">
        <v>681</v>
      </c>
      <c r="C357" s="1" t="s">
        <v>82</v>
      </c>
      <c r="E357" s="16">
        <v>16093</v>
      </c>
      <c r="F357" s="16"/>
      <c r="G357" s="16">
        <v>0</v>
      </c>
      <c r="H357" s="16"/>
      <c r="I357" s="16">
        <v>26736</v>
      </c>
      <c r="J357" s="16"/>
      <c r="K357" s="16">
        <v>0</v>
      </c>
      <c r="L357" s="16"/>
      <c r="M357" s="16">
        <v>0</v>
      </c>
      <c r="N357" s="16"/>
      <c r="O357" s="16">
        <v>531</v>
      </c>
      <c r="P357" s="16"/>
      <c r="Q357" s="16">
        <v>5</v>
      </c>
      <c r="R357" s="16"/>
      <c r="S357" s="16">
        <v>1318</v>
      </c>
      <c r="T357" s="16"/>
      <c r="U357" s="16">
        <v>0</v>
      </c>
      <c r="V357" s="16"/>
      <c r="W357" s="16">
        <v>0</v>
      </c>
      <c r="X357" s="16"/>
      <c r="Y357" s="16">
        <v>0</v>
      </c>
      <c r="Z357" s="16"/>
      <c r="AA357" s="16">
        <v>0</v>
      </c>
      <c r="AB357" s="16"/>
      <c r="AC357" s="16">
        <v>0</v>
      </c>
      <c r="AD357" s="16"/>
      <c r="AE357" s="16">
        <f t="shared" si="10"/>
        <v>44683</v>
      </c>
    </row>
    <row r="358" spans="1:31" ht="12.75" customHeight="1">
      <c r="A358" s="1" t="s">
        <v>651</v>
      </c>
      <c r="C358" s="1" t="s">
        <v>167</v>
      </c>
      <c r="E358" s="16">
        <v>30820</v>
      </c>
      <c r="F358" s="16"/>
      <c r="G358" s="16">
        <v>0</v>
      </c>
      <c r="H358" s="16"/>
      <c r="I358" s="16">
        <v>29848</v>
      </c>
      <c r="J358" s="16"/>
      <c r="K358" s="16">
        <v>0</v>
      </c>
      <c r="L358" s="16"/>
      <c r="M358" s="16">
        <v>9592</v>
      </c>
      <c r="N358" s="16"/>
      <c r="O358" s="16">
        <v>75</v>
      </c>
      <c r="P358" s="16"/>
      <c r="Q358" s="16">
        <v>3505</v>
      </c>
      <c r="R358" s="16"/>
      <c r="S358" s="16">
        <v>6853</v>
      </c>
      <c r="T358" s="16"/>
      <c r="U358" s="16">
        <v>0</v>
      </c>
      <c r="V358" s="16"/>
      <c r="W358" s="16">
        <v>0</v>
      </c>
      <c r="X358" s="16"/>
      <c r="Y358" s="16">
        <v>0</v>
      </c>
      <c r="Z358" s="16"/>
      <c r="AA358" s="16">
        <v>0</v>
      </c>
      <c r="AB358" s="16"/>
      <c r="AC358" s="16">
        <v>0</v>
      </c>
      <c r="AD358" s="16"/>
      <c r="AE358" s="16">
        <f t="shared" si="10"/>
        <v>80693</v>
      </c>
    </row>
    <row r="359" spans="1:31" ht="12.75" customHeight="1">
      <c r="A359" s="1" t="s">
        <v>289</v>
      </c>
      <c r="B359" s="1"/>
      <c r="C359" s="1" t="s">
        <v>87</v>
      </c>
      <c r="D359" s="16"/>
      <c r="E359" s="16">
        <v>43459</v>
      </c>
      <c r="F359" s="16"/>
      <c r="G359" s="16">
        <v>186832</v>
      </c>
      <c r="H359" s="16"/>
      <c r="I359" s="16">
        <v>82485</v>
      </c>
      <c r="J359" s="16"/>
      <c r="K359" s="16">
        <v>0</v>
      </c>
      <c r="L359" s="16"/>
      <c r="M359" s="16">
        <v>700</v>
      </c>
      <c r="N359" s="16"/>
      <c r="O359" s="16">
        <v>395</v>
      </c>
      <c r="P359" s="16"/>
      <c r="Q359" s="16">
        <v>4000</v>
      </c>
      <c r="R359" s="16"/>
      <c r="S359" s="16">
        <v>12117</v>
      </c>
      <c r="T359" s="16"/>
      <c r="U359" s="16">
        <v>0</v>
      </c>
      <c r="V359" s="16"/>
      <c r="W359" s="16">
        <v>0</v>
      </c>
      <c r="X359" s="16"/>
      <c r="Y359" s="16">
        <v>1983</v>
      </c>
      <c r="Z359" s="16"/>
      <c r="AA359" s="16">
        <v>0</v>
      </c>
      <c r="AB359" s="16"/>
      <c r="AC359" s="16">
        <v>0</v>
      </c>
      <c r="AD359" s="16"/>
      <c r="AE359" s="16">
        <f t="shared" si="10"/>
        <v>331971</v>
      </c>
    </row>
    <row r="360" spans="1:31" ht="12.75" customHeight="1">
      <c r="A360" s="1" t="s">
        <v>732</v>
      </c>
      <c r="C360" s="1" t="s">
        <v>106</v>
      </c>
      <c r="E360" s="16">
        <v>53293</v>
      </c>
      <c r="F360" s="16"/>
      <c r="G360" s="16">
        <v>0</v>
      </c>
      <c r="H360" s="16"/>
      <c r="I360" s="16">
        <v>17358</v>
      </c>
      <c r="J360" s="16"/>
      <c r="K360" s="16">
        <v>0</v>
      </c>
      <c r="L360" s="16"/>
      <c r="M360" s="16">
        <v>16549</v>
      </c>
      <c r="N360" s="16"/>
      <c r="O360" s="16">
        <v>7206</v>
      </c>
      <c r="P360" s="16"/>
      <c r="Q360" s="16">
        <v>2128</v>
      </c>
      <c r="R360" s="16"/>
      <c r="S360" s="16">
        <v>1980</v>
      </c>
      <c r="T360" s="16"/>
      <c r="U360" s="16">
        <v>0</v>
      </c>
      <c r="V360" s="16"/>
      <c r="W360" s="16">
        <v>0</v>
      </c>
      <c r="X360" s="16"/>
      <c r="Y360" s="16">
        <v>14987</v>
      </c>
      <c r="Z360" s="16"/>
      <c r="AA360" s="16">
        <v>0</v>
      </c>
      <c r="AB360" s="16"/>
      <c r="AC360" s="16">
        <v>0</v>
      </c>
      <c r="AD360" s="16"/>
      <c r="AE360" s="16">
        <f t="shared" si="10"/>
        <v>113501</v>
      </c>
    </row>
    <row r="361" spans="1:31" ht="12.75" customHeight="1">
      <c r="A361" s="1" t="s">
        <v>749</v>
      </c>
      <c r="C361" s="1" t="s">
        <v>192</v>
      </c>
      <c r="E361" s="16">
        <v>31986</v>
      </c>
      <c r="F361" s="16"/>
      <c r="G361" s="16">
        <v>57027</v>
      </c>
      <c r="H361" s="16"/>
      <c r="I361" s="16">
        <v>82182</v>
      </c>
      <c r="J361" s="16"/>
      <c r="K361" s="16">
        <v>0</v>
      </c>
      <c r="L361" s="16"/>
      <c r="M361" s="16">
        <v>72674</v>
      </c>
      <c r="N361" s="16"/>
      <c r="O361" s="16">
        <v>2422</v>
      </c>
      <c r="P361" s="16"/>
      <c r="Q361" s="16">
        <v>947</v>
      </c>
      <c r="R361" s="16"/>
      <c r="S361" s="16">
        <v>4576</v>
      </c>
      <c r="T361" s="16"/>
      <c r="U361" s="16">
        <v>0</v>
      </c>
      <c r="V361" s="16"/>
      <c r="W361" s="16">
        <v>0</v>
      </c>
      <c r="X361" s="16"/>
      <c r="Y361" s="16">
        <v>0</v>
      </c>
      <c r="Z361" s="16"/>
      <c r="AA361" s="16">
        <v>0</v>
      </c>
      <c r="AB361" s="16"/>
      <c r="AC361" s="16">
        <v>0</v>
      </c>
      <c r="AD361" s="16"/>
      <c r="AE361" s="16">
        <f t="shared" si="10"/>
        <v>251814</v>
      </c>
    </row>
    <row r="362" spans="1:31" ht="12.75" customHeight="1">
      <c r="A362" s="1" t="s">
        <v>290</v>
      </c>
      <c r="B362" s="1"/>
      <c r="C362" s="1" t="s">
        <v>291</v>
      </c>
      <c r="D362" s="16"/>
      <c r="E362" s="16">
        <v>544259</v>
      </c>
      <c r="F362" s="16"/>
      <c r="G362" s="16">
        <v>2604846</v>
      </c>
      <c r="H362" s="16"/>
      <c r="I362" s="16">
        <v>253904</v>
      </c>
      <c r="J362" s="16"/>
      <c r="K362" s="16">
        <v>0</v>
      </c>
      <c r="L362" s="16"/>
      <c r="M362" s="16">
        <v>195008</v>
      </c>
      <c r="N362" s="16"/>
      <c r="O362" s="16">
        <v>231358</v>
      </c>
      <c r="P362" s="16"/>
      <c r="Q362" s="16">
        <v>76667</v>
      </c>
      <c r="R362" s="16"/>
      <c r="S362" s="16">
        <v>24539</v>
      </c>
      <c r="T362" s="16"/>
      <c r="U362" s="16">
        <v>0</v>
      </c>
      <c r="V362" s="16"/>
      <c r="W362" s="16">
        <v>10430</v>
      </c>
      <c r="X362" s="16"/>
      <c r="Y362" s="16">
        <v>824235</v>
      </c>
      <c r="Z362" s="16"/>
      <c r="AA362" s="16">
        <v>0</v>
      </c>
      <c r="AB362" s="16"/>
      <c r="AC362" s="16">
        <v>0</v>
      </c>
      <c r="AD362" s="16"/>
      <c r="AE362" s="16">
        <f t="shared" si="10"/>
        <v>4765246</v>
      </c>
    </row>
    <row r="363" spans="1:31" ht="12.75" customHeight="1">
      <c r="A363" s="1" t="s">
        <v>646</v>
      </c>
      <c r="C363" s="1" t="s">
        <v>372</v>
      </c>
      <c r="E363" s="16">
        <v>94821</v>
      </c>
      <c r="F363" s="16"/>
      <c r="G363" s="16">
        <v>206582</v>
      </c>
      <c r="H363" s="16"/>
      <c r="I363" s="16">
        <v>328692</v>
      </c>
      <c r="J363" s="16"/>
      <c r="K363" s="16">
        <v>70333</v>
      </c>
      <c r="L363" s="16"/>
      <c r="M363" s="16">
        <v>143348</v>
      </c>
      <c r="N363" s="16"/>
      <c r="O363" s="16">
        <v>49244</v>
      </c>
      <c r="P363" s="16"/>
      <c r="Q363" s="16">
        <v>2025</v>
      </c>
      <c r="R363" s="16"/>
      <c r="S363" s="16">
        <v>34875</v>
      </c>
      <c r="T363" s="16"/>
      <c r="U363" s="16">
        <v>0</v>
      </c>
      <c r="V363" s="16"/>
      <c r="W363" s="16">
        <v>0</v>
      </c>
      <c r="X363" s="16"/>
      <c r="Y363" s="16">
        <v>9180</v>
      </c>
      <c r="Z363" s="16"/>
      <c r="AA363" s="16">
        <v>0</v>
      </c>
      <c r="AB363" s="16"/>
      <c r="AC363" s="16">
        <v>0</v>
      </c>
      <c r="AD363" s="16"/>
      <c r="AE363" s="16">
        <f t="shared" si="10"/>
        <v>939100</v>
      </c>
    </row>
    <row r="364" spans="1:31" ht="12.75" customHeight="1">
      <c r="A364" s="1" t="s">
        <v>739</v>
      </c>
      <c r="C364" s="1" t="s">
        <v>96</v>
      </c>
      <c r="E364" s="16">
        <v>21860</v>
      </c>
      <c r="F364" s="16"/>
      <c r="G364" s="16">
        <v>162559</v>
      </c>
      <c r="H364" s="16"/>
      <c r="I364" s="16">
        <v>62640</v>
      </c>
      <c r="J364" s="16"/>
      <c r="K364" s="16">
        <v>49471</v>
      </c>
      <c r="L364" s="16"/>
      <c r="M364" s="16">
        <v>10662</v>
      </c>
      <c r="N364" s="16"/>
      <c r="O364" s="16">
        <v>7607</v>
      </c>
      <c r="P364" s="16"/>
      <c r="Q364" s="16">
        <v>2250</v>
      </c>
      <c r="R364" s="16"/>
      <c r="S364" s="16">
        <v>3604</v>
      </c>
      <c r="T364" s="16"/>
      <c r="U364" s="16">
        <v>0</v>
      </c>
      <c r="V364" s="16"/>
      <c r="W364" s="16">
        <v>0</v>
      </c>
      <c r="X364" s="16"/>
      <c r="Y364" s="16">
        <v>15000</v>
      </c>
      <c r="Z364" s="16"/>
      <c r="AA364" s="16">
        <v>0</v>
      </c>
      <c r="AB364" s="16"/>
      <c r="AC364" s="16">
        <v>0</v>
      </c>
      <c r="AD364" s="16"/>
      <c r="AE364" s="16">
        <f t="shared" si="10"/>
        <v>335653</v>
      </c>
    </row>
    <row r="365" spans="1:31" ht="12.75" customHeight="1">
      <c r="A365" s="1" t="s">
        <v>292</v>
      </c>
      <c r="B365" s="1"/>
      <c r="C365" s="1" t="s">
        <v>293</v>
      </c>
      <c r="D365" s="16"/>
      <c r="E365" s="16">
        <v>7426</v>
      </c>
      <c r="F365" s="16"/>
      <c r="G365" s="16">
        <v>0</v>
      </c>
      <c r="H365" s="16"/>
      <c r="I365" s="16">
        <v>53870</v>
      </c>
      <c r="J365" s="16"/>
      <c r="K365" s="16">
        <v>0</v>
      </c>
      <c r="L365" s="16"/>
      <c r="M365" s="16">
        <v>0</v>
      </c>
      <c r="N365" s="16"/>
      <c r="O365" s="16">
        <v>0</v>
      </c>
      <c r="P365" s="16"/>
      <c r="Q365" s="16">
        <v>821</v>
      </c>
      <c r="R365" s="16"/>
      <c r="S365" s="16">
        <v>0</v>
      </c>
      <c r="T365" s="16"/>
      <c r="U365" s="16">
        <v>0</v>
      </c>
      <c r="V365" s="16"/>
      <c r="W365" s="16">
        <v>0</v>
      </c>
      <c r="X365" s="16"/>
      <c r="Y365" s="16">
        <v>0</v>
      </c>
      <c r="Z365" s="16"/>
      <c r="AA365" s="16">
        <v>0</v>
      </c>
      <c r="AB365" s="16"/>
      <c r="AC365" s="16">
        <v>0</v>
      </c>
      <c r="AD365" s="16"/>
      <c r="AE365" s="16">
        <f aca="true" t="shared" si="11" ref="AE365:AE396">SUM(E365:AC365)</f>
        <v>62117</v>
      </c>
    </row>
    <row r="366" spans="1:31" ht="12.75" customHeight="1">
      <c r="A366" s="1" t="s">
        <v>454</v>
      </c>
      <c r="B366" s="1"/>
      <c r="C366" s="1" t="s">
        <v>453</v>
      </c>
      <c r="E366" s="16">
        <v>1512</v>
      </c>
      <c r="F366" s="16"/>
      <c r="G366" s="16">
        <v>0</v>
      </c>
      <c r="H366" s="16"/>
      <c r="I366" s="16">
        <v>48643</v>
      </c>
      <c r="J366" s="16"/>
      <c r="K366" s="16">
        <v>0</v>
      </c>
      <c r="L366" s="16"/>
      <c r="M366" s="16">
        <v>0</v>
      </c>
      <c r="N366" s="16"/>
      <c r="O366" s="16">
        <v>15562</v>
      </c>
      <c r="P366" s="16"/>
      <c r="Q366" s="16">
        <v>284</v>
      </c>
      <c r="R366" s="16"/>
      <c r="S366" s="16">
        <v>55</v>
      </c>
      <c r="T366" s="16"/>
      <c r="U366" s="16">
        <v>0</v>
      </c>
      <c r="V366" s="16"/>
      <c r="W366" s="16">
        <v>0</v>
      </c>
      <c r="X366" s="16"/>
      <c r="Y366" s="16">
        <v>0</v>
      </c>
      <c r="Z366" s="16"/>
      <c r="AA366" s="16">
        <v>0</v>
      </c>
      <c r="AB366" s="16"/>
      <c r="AC366" s="16">
        <v>0</v>
      </c>
      <c r="AD366" s="16"/>
      <c r="AE366" s="16">
        <f t="shared" si="11"/>
        <v>66056</v>
      </c>
    </row>
    <row r="367" spans="1:31" ht="12.75" customHeight="1">
      <c r="A367" s="1" t="s">
        <v>294</v>
      </c>
      <c r="B367" s="1"/>
      <c r="C367" s="1" t="s">
        <v>261</v>
      </c>
      <c r="D367" s="16"/>
      <c r="E367" s="16">
        <v>190685</v>
      </c>
      <c r="F367" s="16"/>
      <c r="G367" s="16">
        <v>267624</v>
      </c>
      <c r="H367" s="16"/>
      <c r="I367" s="16">
        <v>300213</v>
      </c>
      <c r="J367" s="16"/>
      <c r="K367" s="16">
        <v>6674</v>
      </c>
      <c r="L367" s="16"/>
      <c r="M367" s="16">
        <v>100</v>
      </c>
      <c r="N367" s="16"/>
      <c r="O367" s="16">
        <v>36380</v>
      </c>
      <c r="P367" s="16"/>
      <c r="Q367" s="16">
        <v>31266</v>
      </c>
      <c r="R367" s="16"/>
      <c r="S367" s="16">
        <v>23279</v>
      </c>
      <c r="T367" s="16"/>
      <c r="U367" s="16">
        <v>0</v>
      </c>
      <c r="V367" s="16"/>
      <c r="W367" s="16">
        <v>0</v>
      </c>
      <c r="X367" s="16"/>
      <c r="Y367" s="16">
        <v>204478</v>
      </c>
      <c r="Z367" s="16"/>
      <c r="AA367" s="16">
        <v>0</v>
      </c>
      <c r="AB367" s="16"/>
      <c r="AC367" s="16">
        <v>5628</v>
      </c>
      <c r="AD367" s="16"/>
      <c r="AE367" s="16">
        <f t="shared" si="11"/>
        <v>1066327</v>
      </c>
    </row>
    <row r="368" spans="1:31" ht="12.75" customHeight="1">
      <c r="A368" s="1" t="s">
        <v>745</v>
      </c>
      <c r="C368" s="1" t="s">
        <v>744</v>
      </c>
      <c r="E368" s="16">
        <v>15846</v>
      </c>
      <c r="F368" s="16"/>
      <c r="G368" s="16">
        <v>96961</v>
      </c>
      <c r="H368" s="16"/>
      <c r="I368" s="16">
        <v>41223</v>
      </c>
      <c r="J368" s="16"/>
      <c r="K368" s="16">
        <v>0</v>
      </c>
      <c r="L368" s="16"/>
      <c r="M368" s="16">
        <v>0</v>
      </c>
      <c r="N368" s="16"/>
      <c r="O368" s="16">
        <v>1549</v>
      </c>
      <c r="P368" s="16"/>
      <c r="Q368" s="16">
        <v>1231</v>
      </c>
      <c r="R368" s="16"/>
      <c r="S368" s="16">
        <v>27469</v>
      </c>
      <c r="T368" s="16"/>
      <c r="U368" s="16">
        <v>0</v>
      </c>
      <c r="V368" s="16"/>
      <c r="W368" s="16">
        <v>0</v>
      </c>
      <c r="X368" s="16"/>
      <c r="Y368" s="16">
        <v>0</v>
      </c>
      <c r="Z368" s="16"/>
      <c r="AA368" s="16">
        <v>0</v>
      </c>
      <c r="AB368" s="16"/>
      <c r="AC368" s="16">
        <v>0</v>
      </c>
      <c r="AD368" s="16"/>
      <c r="AE368" s="16">
        <f t="shared" si="11"/>
        <v>184279</v>
      </c>
    </row>
    <row r="369" spans="1:31" ht="12.75" customHeight="1">
      <c r="A369" s="1" t="s">
        <v>773</v>
      </c>
      <c r="C369" s="1" t="s">
        <v>94</v>
      </c>
      <c r="E369" s="16">
        <v>15187</v>
      </c>
      <c r="F369" s="16"/>
      <c r="G369" s="16">
        <v>204594</v>
      </c>
      <c r="H369" s="16"/>
      <c r="I369" s="16">
        <v>97252</v>
      </c>
      <c r="J369" s="16"/>
      <c r="K369" s="16">
        <v>32991</v>
      </c>
      <c r="L369" s="16"/>
      <c r="M369" s="16">
        <v>841</v>
      </c>
      <c r="N369" s="16"/>
      <c r="O369" s="16">
        <v>19446</v>
      </c>
      <c r="P369" s="16"/>
      <c r="Q369" s="16">
        <v>10605</v>
      </c>
      <c r="R369" s="16"/>
      <c r="S369" s="16">
        <v>589</v>
      </c>
      <c r="T369" s="16"/>
      <c r="U369" s="16">
        <v>0</v>
      </c>
      <c r="V369" s="16"/>
      <c r="W369" s="16">
        <v>0</v>
      </c>
      <c r="X369" s="16"/>
      <c r="Y369" s="16">
        <v>183000</v>
      </c>
      <c r="Z369" s="16"/>
      <c r="AA369" s="16">
        <v>0</v>
      </c>
      <c r="AB369" s="16"/>
      <c r="AC369" s="16">
        <v>0</v>
      </c>
      <c r="AD369" s="16"/>
      <c r="AE369" s="16">
        <f t="shared" si="11"/>
        <v>564505</v>
      </c>
    </row>
    <row r="370" spans="1:31" ht="12.75" customHeight="1">
      <c r="A370" s="1" t="s">
        <v>539</v>
      </c>
      <c r="C370" s="1" t="s">
        <v>200</v>
      </c>
      <c r="E370" s="16">
        <v>5417</v>
      </c>
      <c r="F370" s="16"/>
      <c r="G370" s="16">
        <v>0</v>
      </c>
      <c r="H370" s="16"/>
      <c r="I370" s="16">
        <v>13825</v>
      </c>
      <c r="J370" s="16"/>
      <c r="K370" s="16">
        <v>0</v>
      </c>
      <c r="L370" s="16"/>
      <c r="M370" s="16">
        <v>4850</v>
      </c>
      <c r="N370" s="16"/>
      <c r="O370" s="16">
        <v>50</v>
      </c>
      <c r="P370" s="16"/>
      <c r="Q370" s="16">
        <v>12</v>
      </c>
      <c r="R370" s="16"/>
      <c r="S370" s="16">
        <v>0</v>
      </c>
      <c r="T370" s="16"/>
      <c r="U370" s="16">
        <v>0</v>
      </c>
      <c r="V370" s="16"/>
      <c r="W370" s="16">
        <v>0</v>
      </c>
      <c r="X370" s="16"/>
      <c r="Y370" s="16">
        <v>0</v>
      </c>
      <c r="Z370" s="16"/>
      <c r="AA370" s="16">
        <v>0</v>
      </c>
      <c r="AB370" s="16"/>
      <c r="AC370" s="16">
        <v>0</v>
      </c>
      <c r="AD370" s="16"/>
      <c r="AE370" s="16">
        <f t="shared" si="11"/>
        <v>24154</v>
      </c>
    </row>
    <row r="371" spans="1:31" ht="12.75" customHeight="1">
      <c r="A371" s="1" t="s">
        <v>707</v>
      </c>
      <c r="C371" s="1" t="s">
        <v>110</v>
      </c>
      <c r="E371" s="16">
        <v>4888</v>
      </c>
      <c r="F371" s="16"/>
      <c r="G371" s="16">
        <v>0</v>
      </c>
      <c r="H371" s="16"/>
      <c r="I371" s="16">
        <v>62410</v>
      </c>
      <c r="J371" s="16"/>
      <c r="K371" s="16">
        <v>0</v>
      </c>
      <c r="L371" s="16"/>
      <c r="M371" s="16">
        <v>0</v>
      </c>
      <c r="N371" s="16"/>
      <c r="O371" s="16">
        <v>638</v>
      </c>
      <c r="P371" s="16"/>
      <c r="Q371" s="16">
        <v>1757</v>
      </c>
      <c r="R371" s="16"/>
      <c r="S371" s="16">
        <v>274</v>
      </c>
      <c r="T371" s="16"/>
      <c r="U371" s="16">
        <v>0</v>
      </c>
      <c r="V371" s="16"/>
      <c r="W371" s="16">
        <v>0</v>
      </c>
      <c r="X371" s="16"/>
      <c r="Y371" s="16">
        <v>0</v>
      </c>
      <c r="Z371" s="16"/>
      <c r="AA371" s="16">
        <v>0</v>
      </c>
      <c r="AB371" s="16"/>
      <c r="AC371" s="16">
        <v>0</v>
      </c>
      <c r="AD371" s="16"/>
      <c r="AE371" s="16">
        <f t="shared" si="11"/>
        <v>69967</v>
      </c>
    </row>
    <row r="372" spans="1:31" ht="12.75" customHeight="1">
      <c r="A372" s="1" t="s">
        <v>295</v>
      </c>
      <c r="B372" s="1"/>
      <c r="C372" s="1" t="s">
        <v>221</v>
      </c>
      <c r="D372" s="16"/>
      <c r="E372" s="16">
        <f>265183-51327</f>
        <v>213856</v>
      </c>
      <c r="F372" s="16"/>
      <c r="G372" s="16">
        <v>973922</v>
      </c>
      <c r="H372" s="16"/>
      <c r="I372" s="16">
        <v>3115846</v>
      </c>
      <c r="J372" s="16"/>
      <c r="K372" s="16">
        <v>0</v>
      </c>
      <c r="L372" s="16"/>
      <c r="M372" s="16">
        <v>27271</v>
      </c>
      <c r="N372" s="16"/>
      <c r="O372" s="16">
        <v>43485</v>
      </c>
      <c r="P372" s="16"/>
      <c r="Q372" s="16">
        <v>10186</v>
      </c>
      <c r="R372" s="16"/>
      <c r="S372" s="16">
        <v>33332</v>
      </c>
      <c r="T372" s="16"/>
      <c r="U372" s="16">
        <v>0</v>
      </c>
      <c r="V372" s="16"/>
      <c r="W372" s="16">
        <v>5200</v>
      </c>
      <c r="X372" s="16"/>
      <c r="Y372" s="16">
        <v>259879</v>
      </c>
      <c r="Z372" s="16"/>
      <c r="AA372" s="16">
        <v>0</v>
      </c>
      <c r="AB372" s="16"/>
      <c r="AC372" s="16">
        <v>0</v>
      </c>
      <c r="AD372" s="16"/>
      <c r="AE372" s="16">
        <f t="shared" si="11"/>
        <v>4682977</v>
      </c>
    </row>
    <row r="373" spans="1:31" ht="12.75" customHeight="1">
      <c r="A373" s="1" t="s">
        <v>532</v>
      </c>
      <c r="C373" s="1" t="s">
        <v>98</v>
      </c>
      <c r="E373" s="16">
        <v>132210</v>
      </c>
      <c r="F373" s="16"/>
      <c r="G373" s="16">
        <v>0</v>
      </c>
      <c r="H373" s="16"/>
      <c r="I373" s="16">
        <v>138580</v>
      </c>
      <c r="J373" s="16"/>
      <c r="K373" s="16">
        <v>0</v>
      </c>
      <c r="L373" s="16"/>
      <c r="M373" s="16">
        <v>282660</v>
      </c>
      <c r="N373" s="16"/>
      <c r="O373" s="16">
        <v>1255</v>
      </c>
      <c r="P373" s="16"/>
      <c r="Q373" s="16">
        <v>7077</v>
      </c>
      <c r="R373" s="16"/>
      <c r="S373" s="16">
        <v>24896</v>
      </c>
      <c r="T373" s="16"/>
      <c r="U373" s="16">
        <v>0</v>
      </c>
      <c r="V373" s="16"/>
      <c r="W373" s="16">
        <v>0</v>
      </c>
      <c r="X373" s="16"/>
      <c r="Y373" s="16">
        <v>12212</v>
      </c>
      <c r="Z373" s="16"/>
      <c r="AA373" s="16">
        <v>0</v>
      </c>
      <c r="AB373" s="16"/>
      <c r="AC373" s="16">
        <v>0</v>
      </c>
      <c r="AD373" s="16"/>
      <c r="AE373" s="16">
        <f t="shared" si="11"/>
        <v>598890</v>
      </c>
    </row>
    <row r="374" spans="1:31" ht="12.75" customHeight="1">
      <c r="A374" s="1" t="s">
        <v>478</v>
      </c>
      <c r="C374" s="1" t="s">
        <v>146</v>
      </c>
      <c r="E374" s="16">
        <v>23150</v>
      </c>
      <c r="F374" s="16"/>
      <c r="G374" s="16">
        <v>0</v>
      </c>
      <c r="H374" s="16"/>
      <c r="I374" s="16">
        <v>176717</v>
      </c>
      <c r="J374" s="16"/>
      <c r="K374" s="16">
        <v>7487</v>
      </c>
      <c r="L374" s="16"/>
      <c r="M374" s="16">
        <v>31500</v>
      </c>
      <c r="N374" s="16"/>
      <c r="O374" s="16">
        <v>9</v>
      </c>
      <c r="P374" s="16"/>
      <c r="Q374" s="16">
        <v>3155</v>
      </c>
      <c r="R374" s="16"/>
      <c r="S374" s="16">
        <v>6111</v>
      </c>
      <c r="T374" s="16"/>
      <c r="U374" s="16">
        <v>0</v>
      </c>
      <c r="V374" s="16"/>
      <c r="W374" s="16">
        <v>0</v>
      </c>
      <c r="X374" s="16"/>
      <c r="Y374" s="16">
        <v>0</v>
      </c>
      <c r="Z374" s="16"/>
      <c r="AA374" s="16">
        <v>0</v>
      </c>
      <c r="AB374" s="16"/>
      <c r="AC374" s="16">
        <v>0</v>
      </c>
      <c r="AD374" s="16"/>
      <c r="AE374" s="16">
        <f t="shared" si="11"/>
        <v>248129</v>
      </c>
    </row>
    <row r="375" spans="1:31" ht="12.75" customHeight="1">
      <c r="A375" s="1" t="s">
        <v>296</v>
      </c>
      <c r="B375" s="1"/>
      <c r="C375" s="1" t="s">
        <v>94</v>
      </c>
      <c r="E375" s="16">
        <v>14385</v>
      </c>
      <c r="F375" s="16"/>
      <c r="G375" s="16">
        <v>0</v>
      </c>
      <c r="H375" s="16"/>
      <c r="I375" s="16">
        <v>17552</v>
      </c>
      <c r="J375" s="16"/>
      <c r="K375" s="16">
        <v>5067</v>
      </c>
      <c r="L375" s="16"/>
      <c r="M375" s="16">
        <v>0</v>
      </c>
      <c r="N375" s="16"/>
      <c r="O375" s="16">
        <v>100</v>
      </c>
      <c r="P375" s="16"/>
      <c r="Q375" s="16">
        <v>265</v>
      </c>
      <c r="R375" s="16"/>
      <c r="S375" s="16">
        <v>5336</v>
      </c>
      <c r="T375" s="16"/>
      <c r="U375" s="16">
        <v>10000</v>
      </c>
      <c r="V375" s="16"/>
      <c r="W375" s="16">
        <v>0</v>
      </c>
      <c r="X375" s="16"/>
      <c r="Y375" s="16">
        <v>1000</v>
      </c>
      <c r="Z375" s="16"/>
      <c r="AA375" s="16">
        <v>0</v>
      </c>
      <c r="AB375" s="16"/>
      <c r="AC375" s="16">
        <v>0</v>
      </c>
      <c r="AD375" s="16"/>
      <c r="AE375" s="16">
        <f t="shared" si="11"/>
        <v>53705</v>
      </c>
    </row>
    <row r="376" spans="1:31" ht="12.75" customHeight="1">
      <c r="A376" s="1" t="s">
        <v>297</v>
      </c>
      <c r="B376" s="1"/>
      <c r="C376" s="1" t="s">
        <v>80</v>
      </c>
      <c r="D376" s="16"/>
      <c r="E376" s="16">
        <v>347</v>
      </c>
      <c r="F376" s="16"/>
      <c r="G376" s="16">
        <v>0</v>
      </c>
      <c r="H376" s="16"/>
      <c r="I376" s="16">
        <v>4355</v>
      </c>
      <c r="J376" s="16"/>
      <c r="K376" s="16">
        <v>0</v>
      </c>
      <c r="L376" s="16"/>
      <c r="M376" s="16">
        <v>0</v>
      </c>
      <c r="N376" s="16"/>
      <c r="O376" s="16">
        <v>0</v>
      </c>
      <c r="P376" s="16"/>
      <c r="Q376" s="16">
        <v>49</v>
      </c>
      <c r="R376" s="16"/>
      <c r="S376" s="16">
        <v>0</v>
      </c>
      <c r="T376" s="16"/>
      <c r="U376" s="16">
        <v>0</v>
      </c>
      <c r="V376" s="16"/>
      <c r="W376" s="16">
        <v>0</v>
      </c>
      <c r="X376" s="16"/>
      <c r="Y376" s="16">
        <v>0</v>
      </c>
      <c r="Z376" s="16"/>
      <c r="AA376" s="16">
        <v>0</v>
      </c>
      <c r="AB376" s="16"/>
      <c r="AC376" s="16">
        <v>0</v>
      </c>
      <c r="AD376" s="16"/>
      <c r="AE376" s="16">
        <f t="shared" si="11"/>
        <v>4751</v>
      </c>
    </row>
    <row r="377" spans="1:31" ht="12.75" customHeight="1">
      <c r="A377" s="1" t="s">
        <v>740</v>
      </c>
      <c r="C377" s="1" t="s">
        <v>96</v>
      </c>
      <c r="E377" s="16">
        <v>60541</v>
      </c>
      <c r="F377" s="16"/>
      <c r="G377" s="16">
        <v>34710</v>
      </c>
      <c r="H377" s="16"/>
      <c r="I377" s="16">
        <v>129014</v>
      </c>
      <c r="J377" s="16"/>
      <c r="K377" s="16">
        <v>0</v>
      </c>
      <c r="L377" s="16"/>
      <c r="M377" s="16">
        <v>20000</v>
      </c>
      <c r="N377" s="16"/>
      <c r="O377" s="16">
        <v>3876</v>
      </c>
      <c r="P377" s="16"/>
      <c r="Q377" s="16">
        <v>525</v>
      </c>
      <c r="R377" s="16"/>
      <c r="S377" s="16">
        <v>10501</v>
      </c>
      <c r="T377" s="16"/>
      <c r="U377" s="16">
        <v>0</v>
      </c>
      <c r="V377" s="16"/>
      <c r="W377" s="16">
        <v>0</v>
      </c>
      <c r="X377" s="16"/>
      <c r="Y377" s="16">
        <v>21000</v>
      </c>
      <c r="Z377" s="16"/>
      <c r="AA377" s="16">
        <v>42900</v>
      </c>
      <c r="AB377" s="16"/>
      <c r="AC377" s="16">
        <v>0</v>
      </c>
      <c r="AD377" s="16"/>
      <c r="AE377" s="16">
        <f t="shared" si="11"/>
        <v>323067</v>
      </c>
    </row>
    <row r="378" spans="1:31" ht="12.75" customHeight="1">
      <c r="A378" s="1" t="s">
        <v>298</v>
      </c>
      <c r="B378" s="1"/>
      <c r="C378" s="1" t="s">
        <v>106</v>
      </c>
      <c r="D378" s="16"/>
      <c r="E378" s="16">
        <f>157084+1263602</f>
        <v>1420686</v>
      </c>
      <c r="F378" s="16"/>
      <c r="G378" s="16">
        <v>0</v>
      </c>
      <c r="H378" s="16"/>
      <c r="I378" s="16">
        <v>376373</v>
      </c>
      <c r="J378" s="16"/>
      <c r="K378" s="16">
        <v>0</v>
      </c>
      <c r="L378" s="16"/>
      <c r="M378" s="16">
        <v>80940</v>
      </c>
      <c r="N378" s="16"/>
      <c r="O378" s="16">
        <v>41328</v>
      </c>
      <c r="P378" s="16"/>
      <c r="Q378" s="16">
        <v>67383</v>
      </c>
      <c r="R378" s="16"/>
      <c r="S378" s="16">
        <v>38470</v>
      </c>
      <c r="T378" s="16"/>
      <c r="U378" s="16">
        <v>0</v>
      </c>
      <c r="V378" s="16"/>
      <c r="W378" s="16">
        <v>0</v>
      </c>
      <c r="X378" s="16"/>
      <c r="Y378" s="16">
        <v>1137842</v>
      </c>
      <c r="Z378" s="16"/>
      <c r="AA378" s="16">
        <v>75000</v>
      </c>
      <c r="AB378" s="16"/>
      <c r="AC378" s="16">
        <v>0</v>
      </c>
      <c r="AD378" s="16"/>
      <c r="AE378" s="16">
        <f t="shared" si="11"/>
        <v>3238022</v>
      </c>
    </row>
    <row r="379" spans="1:31" ht="12.75" customHeight="1">
      <c r="A379" s="1" t="s">
        <v>545</v>
      </c>
      <c r="C379" s="1" t="s">
        <v>149</v>
      </c>
      <c r="E379" s="16">
        <v>441695</v>
      </c>
      <c r="F379" s="16"/>
      <c r="G379" s="16">
        <v>0</v>
      </c>
      <c r="H379" s="16"/>
      <c r="I379" s="16">
        <v>394323</v>
      </c>
      <c r="J379" s="16"/>
      <c r="K379" s="16">
        <v>42719</v>
      </c>
      <c r="L379" s="16"/>
      <c r="M379" s="16">
        <v>428</v>
      </c>
      <c r="N379" s="16"/>
      <c r="O379" s="16">
        <v>43795</v>
      </c>
      <c r="P379" s="16"/>
      <c r="Q379" s="16">
        <v>7733</v>
      </c>
      <c r="R379" s="16"/>
      <c r="S379" s="16">
        <v>44742</v>
      </c>
      <c r="T379" s="16"/>
      <c r="U379" s="16">
        <v>0</v>
      </c>
      <c r="V379" s="16"/>
      <c r="W379" s="16">
        <v>0</v>
      </c>
      <c r="X379" s="16"/>
      <c r="Y379" s="16">
        <v>12740</v>
      </c>
      <c r="Z379" s="16"/>
      <c r="AA379" s="16">
        <v>0</v>
      </c>
      <c r="AB379" s="16"/>
      <c r="AC379" s="16">
        <v>0</v>
      </c>
      <c r="AD379" s="16"/>
      <c r="AE379" s="16">
        <f t="shared" si="11"/>
        <v>988175</v>
      </c>
    </row>
    <row r="380" spans="1:31" ht="12.75" customHeight="1">
      <c r="A380" s="1" t="s">
        <v>299</v>
      </c>
      <c r="B380" s="1"/>
      <c r="C380" s="1" t="s">
        <v>69</v>
      </c>
      <c r="D380" s="16"/>
      <c r="E380" s="16">
        <f>2371967-38906</f>
        <v>2333061</v>
      </c>
      <c r="F380" s="16"/>
      <c r="G380" s="16">
        <v>0</v>
      </c>
      <c r="H380" s="16"/>
      <c r="I380" s="16">
        <f>525332-2969</f>
        <v>522363</v>
      </c>
      <c r="J380" s="16"/>
      <c r="K380" s="16">
        <v>0</v>
      </c>
      <c r="L380" s="16"/>
      <c r="M380" s="16">
        <v>143449</v>
      </c>
      <c r="N380" s="16"/>
      <c r="O380" s="16">
        <v>54800</v>
      </c>
      <c r="P380" s="16"/>
      <c r="Q380" s="16">
        <v>5663</v>
      </c>
      <c r="R380" s="16"/>
      <c r="S380" s="16">
        <f>6013-2595</f>
        <v>3418</v>
      </c>
      <c r="T380" s="16"/>
      <c r="U380" s="16">
        <v>0</v>
      </c>
      <c r="V380" s="16"/>
      <c r="W380" s="16">
        <v>30000</v>
      </c>
      <c r="X380" s="16"/>
      <c r="Y380" s="16">
        <v>487550</v>
      </c>
      <c r="Z380" s="16"/>
      <c r="AA380" s="16">
        <v>0</v>
      </c>
      <c r="AB380" s="16"/>
      <c r="AC380" s="16">
        <v>237714</v>
      </c>
      <c r="AD380" s="16"/>
      <c r="AE380" s="16">
        <f t="shared" si="11"/>
        <v>3818018</v>
      </c>
    </row>
    <row r="381" spans="1:31" ht="12.75" customHeight="1">
      <c r="A381" s="1" t="s">
        <v>300</v>
      </c>
      <c r="B381" s="1"/>
      <c r="C381" s="1" t="s">
        <v>177</v>
      </c>
      <c r="E381" s="16">
        <v>224850</v>
      </c>
      <c r="F381" s="16"/>
      <c r="G381" s="16">
        <f>4723637-2420485</f>
        <v>2303152</v>
      </c>
      <c r="H381" s="16"/>
      <c r="I381" s="16">
        <v>470443</v>
      </c>
      <c r="J381" s="16"/>
      <c r="K381" s="16">
        <v>45044</v>
      </c>
      <c r="L381" s="16"/>
      <c r="M381" s="16">
        <v>425321</v>
      </c>
      <c r="N381" s="16"/>
      <c r="O381" s="16">
        <v>13926</v>
      </c>
      <c r="P381" s="16"/>
      <c r="Q381" s="16">
        <v>75036</v>
      </c>
      <c r="R381" s="16"/>
      <c r="S381" s="16">
        <v>81974</v>
      </c>
      <c r="T381" s="16"/>
      <c r="U381" s="16">
        <v>0</v>
      </c>
      <c r="V381" s="16"/>
      <c r="W381" s="16">
        <v>0</v>
      </c>
      <c r="X381" s="16"/>
      <c r="Y381" s="16">
        <v>1977790</v>
      </c>
      <c r="Z381" s="16"/>
      <c r="AA381" s="16">
        <v>0</v>
      </c>
      <c r="AB381" s="16"/>
      <c r="AC381" s="16">
        <v>0</v>
      </c>
      <c r="AD381" s="16"/>
      <c r="AE381" s="16">
        <f t="shared" si="11"/>
        <v>5617536</v>
      </c>
    </row>
    <row r="382" spans="1:31" ht="12.75" customHeight="1">
      <c r="A382" s="1" t="s">
        <v>301</v>
      </c>
      <c r="B382" s="1"/>
      <c r="C382" s="1" t="s">
        <v>129</v>
      </c>
      <c r="D382" s="16"/>
      <c r="E382" s="16">
        <f>211469</f>
        <v>211469</v>
      </c>
      <c r="F382" s="16"/>
      <c r="G382" s="16">
        <v>1838805</v>
      </c>
      <c r="H382" s="16"/>
      <c r="I382" s="16">
        <v>1041675</v>
      </c>
      <c r="J382" s="16"/>
      <c r="K382" s="16">
        <v>2185</v>
      </c>
      <c r="L382" s="16"/>
      <c r="M382" s="16">
        <v>33532</v>
      </c>
      <c r="N382" s="16"/>
      <c r="O382" s="16">
        <f>124988-63267</f>
        <v>61721</v>
      </c>
      <c r="P382" s="16"/>
      <c r="Q382" s="16">
        <v>4314</v>
      </c>
      <c r="R382" s="16"/>
      <c r="S382" s="16">
        <v>139179</v>
      </c>
      <c r="T382" s="16"/>
      <c r="U382" s="16">
        <v>1163100</v>
      </c>
      <c r="V382" s="16"/>
      <c r="W382" s="16">
        <v>0</v>
      </c>
      <c r="X382" s="16"/>
      <c r="Y382" s="16">
        <v>1716910</v>
      </c>
      <c r="Z382" s="16"/>
      <c r="AA382" s="16">
        <v>20000</v>
      </c>
      <c r="AB382" s="16"/>
      <c r="AC382" s="16">
        <v>0</v>
      </c>
      <c r="AD382" s="16"/>
      <c r="AE382" s="16">
        <f t="shared" si="11"/>
        <v>6232890</v>
      </c>
    </row>
    <row r="383" spans="1:31" ht="12.75" customHeight="1">
      <c r="A383" s="1" t="s">
        <v>302</v>
      </c>
      <c r="B383" s="1"/>
      <c r="C383" s="1" t="s">
        <v>303</v>
      </c>
      <c r="D383" s="16"/>
      <c r="E383" s="16">
        <v>276034</v>
      </c>
      <c r="F383" s="16"/>
      <c r="G383" s="16">
        <v>471632</v>
      </c>
      <c r="H383" s="16"/>
      <c r="I383" s="16">
        <v>241851</v>
      </c>
      <c r="J383" s="16"/>
      <c r="K383" s="16">
        <v>6366</v>
      </c>
      <c r="L383" s="16"/>
      <c r="M383" s="16">
        <v>15841</v>
      </c>
      <c r="N383" s="16"/>
      <c r="O383" s="16">
        <v>68601</v>
      </c>
      <c r="P383" s="16"/>
      <c r="Q383" s="16">
        <v>43162</v>
      </c>
      <c r="R383" s="16"/>
      <c r="S383" s="16">
        <v>12841</v>
      </c>
      <c r="T383" s="16"/>
      <c r="U383" s="16">
        <v>0</v>
      </c>
      <c r="V383" s="16"/>
      <c r="W383" s="16">
        <v>0</v>
      </c>
      <c r="X383" s="16"/>
      <c r="Y383" s="16">
        <v>47198</v>
      </c>
      <c r="Z383" s="16"/>
      <c r="AA383" s="16">
        <v>92124</v>
      </c>
      <c r="AB383" s="16"/>
      <c r="AC383" s="16">
        <v>61516</v>
      </c>
      <c r="AD383" s="16"/>
      <c r="AE383" s="16">
        <f t="shared" si="11"/>
        <v>1337166</v>
      </c>
    </row>
    <row r="384" spans="1:31" ht="12.75" customHeight="1">
      <c r="A384" s="1" t="s">
        <v>652</v>
      </c>
      <c r="C384" s="1" t="s">
        <v>167</v>
      </c>
      <c r="E384" s="16">
        <v>5473</v>
      </c>
      <c r="F384" s="16"/>
      <c r="G384" s="16">
        <v>0</v>
      </c>
      <c r="H384" s="16"/>
      <c r="I384" s="16">
        <v>27133</v>
      </c>
      <c r="J384" s="16"/>
      <c r="K384" s="16">
        <v>0</v>
      </c>
      <c r="L384" s="16"/>
      <c r="M384" s="16">
        <v>0</v>
      </c>
      <c r="N384" s="16"/>
      <c r="O384" s="16">
        <v>219</v>
      </c>
      <c r="P384" s="16"/>
      <c r="Q384" s="16">
        <v>30</v>
      </c>
      <c r="R384" s="16"/>
      <c r="S384" s="16">
        <v>23</v>
      </c>
      <c r="T384" s="16"/>
      <c r="U384" s="16">
        <v>0</v>
      </c>
      <c r="V384" s="16"/>
      <c r="W384" s="16">
        <v>0</v>
      </c>
      <c r="X384" s="16"/>
      <c r="Y384" s="16">
        <v>0</v>
      </c>
      <c r="Z384" s="16"/>
      <c r="AA384" s="16">
        <v>0</v>
      </c>
      <c r="AB384" s="16"/>
      <c r="AC384" s="16">
        <v>69</v>
      </c>
      <c r="AD384" s="16"/>
      <c r="AE384" s="16">
        <f t="shared" si="11"/>
        <v>32947</v>
      </c>
    </row>
    <row r="385" spans="1:31" ht="12.75" customHeight="1">
      <c r="A385" s="1" t="s">
        <v>304</v>
      </c>
      <c r="B385" s="1"/>
      <c r="C385" s="1" t="s">
        <v>190</v>
      </c>
      <c r="D385" s="16"/>
      <c r="E385" s="16">
        <v>1516534</v>
      </c>
      <c r="F385" s="16"/>
      <c r="G385" s="16">
        <v>0</v>
      </c>
      <c r="H385" s="16"/>
      <c r="I385" s="16">
        <v>688753</v>
      </c>
      <c r="J385" s="16"/>
      <c r="K385" s="16">
        <v>25822</v>
      </c>
      <c r="L385" s="16"/>
      <c r="M385" s="16">
        <v>367907</v>
      </c>
      <c r="N385" s="16"/>
      <c r="O385" s="16">
        <v>57898</v>
      </c>
      <c r="P385" s="16"/>
      <c r="Q385" s="16">
        <v>212902</v>
      </c>
      <c r="R385" s="16"/>
      <c r="S385" s="16">
        <v>0</v>
      </c>
      <c r="T385" s="16"/>
      <c r="U385" s="16">
        <v>575000</v>
      </c>
      <c r="V385" s="16"/>
      <c r="W385" s="16">
        <v>8392</v>
      </c>
      <c r="X385" s="16"/>
      <c r="Y385" s="16">
        <v>35000</v>
      </c>
      <c r="Z385" s="16"/>
      <c r="AA385" s="16">
        <v>83570</v>
      </c>
      <c r="AB385" s="16"/>
      <c r="AC385" s="16">
        <v>259688</v>
      </c>
      <c r="AD385" s="16"/>
      <c r="AE385" s="16">
        <f t="shared" si="11"/>
        <v>3831466</v>
      </c>
    </row>
    <row r="386" spans="1:31" ht="12.75" customHeight="1">
      <c r="A386" s="1" t="s">
        <v>305</v>
      </c>
      <c r="B386" s="1"/>
      <c r="C386" s="1" t="s">
        <v>112</v>
      </c>
      <c r="D386" s="16"/>
      <c r="E386" s="16">
        <f>767457+472048+123142</f>
        <v>1362647</v>
      </c>
      <c r="F386" s="16"/>
      <c r="G386" s="16">
        <v>2752635</v>
      </c>
      <c r="H386" s="16"/>
      <c r="I386" s="16">
        <f>207389+243318+16048+405666</f>
        <v>872421</v>
      </c>
      <c r="J386" s="16"/>
      <c r="K386" s="16">
        <f>92884+218663</f>
        <v>311547</v>
      </c>
      <c r="L386" s="16"/>
      <c r="M386" s="16">
        <f>77489+65025</f>
        <v>142514</v>
      </c>
      <c r="N386" s="16"/>
      <c r="O386" s="16">
        <f>27337+23974+33000</f>
        <v>84311</v>
      </c>
      <c r="P386" s="16"/>
      <c r="Q386" s="16">
        <f>78992+2035+21160</f>
        <v>102187</v>
      </c>
      <c r="R386" s="16"/>
      <c r="S386" s="16">
        <f>132020+179342</f>
        <v>311362</v>
      </c>
      <c r="T386" s="16"/>
      <c r="U386" s="16">
        <v>0</v>
      </c>
      <c r="V386" s="16"/>
      <c r="W386" s="16">
        <v>0</v>
      </c>
      <c r="X386" s="16"/>
      <c r="Y386" s="16">
        <v>921084</v>
      </c>
      <c r="Z386" s="16"/>
      <c r="AA386" s="16">
        <v>700978</v>
      </c>
      <c r="AB386" s="16"/>
      <c r="AC386" s="16">
        <v>0</v>
      </c>
      <c r="AD386" s="16"/>
      <c r="AE386" s="16">
        <f t="shared" si="11"/>
        <v>7561686</v>
      </c>
    </row>
    <row r="387" spans="1:31" ht="12.75" customHeight="1">
      <c r="A387" s="1" t="s">
        <v>637</v>
      </c>
      <c r="C387" s="1" t="s">
        <v>268</v>
      </c>
      <c r="E387" s="16">
        <v>22146</v>
      </c>
      <c r="F387" s="16"/>
      <c r="G387" s="16">
        <v>0</v>
      </c>
      <c r="H387" s="16"/>
      <c r="I387" s="16">
        <v>26885</v>
      </c>
      <c r="J387" s="16"/>
      <c r="K387" s="16">
        <v>0</v>
      </c>
      <c r="L387" s="16"/>
      <c r="M387" s="16">
        <v>1683</v>
      </c>
      <c r="N387" s="16"/>
      <c r="O387" s="16">
        <v>1413</v>
      </c>
      <c r="P387" s="16"/>
      <c r="Q387" s="16">
        <v>423</v>
      </c>
      <c r="R387" s="16"/>
      <c r="S387" s="16">
        <v>745</v>
      </c>
      <c r="T387" s="16"/>
      <c r="U387" s="16">
        <v>0</v>
      </c>
      <c r="V387" s="16"/>
      <c r="W387" s="16">
        <v>0</v>
      </c>
      <c r="X387" s="16"/>
      <c r="Y387" s="16">
        <v>0</v>
      </c>
      <c r="Z387" s="16"/>
      <c r="AA387" s="16">
        <v>0</v>
      </c>
      <c r="AB387" s="16"/>
      <c r="AC387" s="16">
        <v>0</v>
      </c>
      <c r="AD387" s="16"/>
      <c r="AE387" s="16">
        <f t="shared" si="11"/>
        <v>53295</v>
      </c>
    </row>
    <row r="388" spans="1:31" ht="12.75" customHeight="1">
      <c r="A388" s="1" t="s">
        <v>469</v>
      </c>
      <c r="B388" s="1"/>
      <c r="C388" s="1" t="s">
        <v>100</v>
      </c>
      <c r="E388" s="16">
        <v>10594</v>
      </c>
      <c r="F388" s="16"/>
      <c r="G388" s="16">
        <v>0</v>
      </c>
      <c r="H388" s="16"/>
      <c r="I388" s="16">
        <v>72149</v>
      </c>
      <c r="J388" s="16"/>
      <c r="K388" s="16">
        <v>0</v>
      </c>
      <c r="L388" s="16"/>
      <c r="M388" s="16">
        <v>220820</v>
      </c>
      <c r="N388" s="16"/>
      <c r="O388" s="16">
        <v>0</v>
      </c>
      <c r="P388" s="16"/>
      <c r="Q388" s="16">
        <v>655</v>
      </c>
      <c r="R388" s="16"/>
      <c r="S388" s="16">
        <v>19558</v>
      </c>
      <c r="T388" s="16"/>
      <c r="U388" s="16">
        <v>0</v>
      </c>
      <c r="V388" s="16"/>
      <c r="W388" s="16">
        <v>0</v>
      </c>
      <c r="X388" s="16"/>
      <c r="Y388" s="16">
        <v>0</v>
      </c>
      <c r="Z388" s="16"/>
      <c r="AA388" s="16">
        <v>0</v>
      </c>
      <c r="AB388" s="16"/>
      <c r="AC388" s="16">
        <v>2600</v>
      </c>
      <c r="AD388" s="16"/>
      <c r="AE388" s="16">
        <f t="shared" si="11"/>
        <v>326376</v>
      </c>
    </row>
    <row r="389" spans="1:31" ht="12.75" customHeight="1">
      <c r="A389" s="1" t="s">
        <v>309</v>
      </c>
      <c r="C389" s="1" t="s">
        <v>172</v>
      </c>
      <c r="E389" s="16">
        <v>57750</v>
      </c>
      <c r="F389" s="16"/>
      <c r="G389" s="16">
        <v>231044</v>
      </c>
      <c r="H389" s="16"/>
      <c r="I389" s="16">
        <v>77706</v>
      </c>
      <c r="J389" s="16"/>
      <c r="K389" s="16">
        <v>15423</v>
      </c>
      <c r="L389" s="16"/>
      <c r="M389" s="16">
        <v>103372</v>
      </c>
      <c r="N389" s="16"/>
      <c r="O389" s="16">
        <v>29036</v>
      </c>
      <c r="P389" s="16"/>
      <c r="Q389" s="16">
        <v>11852</v>
      </c>
      <c r="R389" s="16"/>
      <c r="S389" s="16">
        <v>16160</v>
      </c>
      <c r="T389" s="16"/>
      <c r="U389" s="16">
        <v>0</v>
      </c>
      <c r="V389" s="16"/>
      <c r="W389" s="16">
        <v>0</v>
      </c>
      <c r="X389" s="16"/>
      <c r="Y389" s="16">
        <v>37459</v>
      </c>
      <c r="Z389" s="16"/>
      <c r="AA389" s="16">
        <v>0</v>
      </c>
      <c r="AB389" s="16"/>
      <c r="AC389" s="16">
        <v>689</v>
      </c>
      <c r="AD389" s="16"/>
      <c r="AE389" s="16">
        <f t="shared" si="11"/>
        <v>580491</v>
      </c>
    </row>
    <row r="390" spans="1:31" ht="12.75" customHeight="1">
      <c r="A390" s="1" t="s">
        <v>493</v>
      </c>
      <c r="C390" s="1" t="s">
        <v>102</v>
      </c>
      <c r="E390" s="16">
        <v>409772</v>
      </c>
      <c r="F390" s="16"/>
      <c r="G390" s="16">
        <v>0</v>
      </c>
      <c r="H390" s="16"/>
      <c r="I390" s="16">
        <v>163770</v>
      </c>
      <c r="J390" s="16"/>
      <c r="K390" s="16">
        <v>0</v>
      </c>
      <c r="L390" s="16"/>
      <c r="M390" s="16">
        <v>1627</v>
      </c>
      <c r="N390" s="16"/>
      <c r="O390" s="16">
        <v>1056</v>
      </c>
      <c r="P390" s="16"/>
      <c r="Q390" s="16">
        <v>9813</v>
      </c>
      <c r="R390" s="16"/>
      <c r="S390" s="16">
        <v>12234</v>
      </c>
      <c r="T390" s="16"/>
      <c r="U390" s="16">
        <v>0</v>
      </c>
      <c r="V390" s="16"/>
      <c r="W390" s="16">
        <v>37504</v>
      </c>
      <c r="X390" s="16"/>
      <c r="Y390" s="16">
        <v>14483</v>
      </c>
      <c r="Z390" s="16"/>
      <c r="AA390" s="16">
        <v>0</v>
      </c>
      <c r="AB390" s="16"/>
      <c r="AC390" s="16">
        <v>0</v>
      </c>
      <c r="AD390" s="16"/>
      <c r="AE390" s="16">
        <f t="shared" si="11"/>
        <v>650259</v>
      </c>
    </row>
    <row r="391" spans="1:31" ht="12.75" customHeight="1">
      <c r="A391" s="1" t="s">
        <v>762</v>
      </c>
      <c r="C391" s="1" t="s">
        <v>84</v>
      </c>
      <c r="E391" s="16">
        <v>20135</v>
      </c>
      <c r="F391" s="16"/>
      <c r="G391" s="16">
        <v>74059</v>
      </c>
      <c r="H391" s="16"/>
      <c r="I391" s="16">
        <v>34316</v>
      </c>
      <c r="J391" s="16"/>
      <c r="K391" s="16">
        <v>0</v>
      </c>
      <c r="L391" s="16"/>
      <c r="M391" s="16">
        <v>1200</v>
      </c>
      <c r="N391" s="16"/>
      <c r="O391" s="16">
        <v>19118</v>
      </c>
      <c r="P391" s="16"/>
      <c r="Q391" s="16">
        <v>2079</v>
      </c>
      <c r="R391" s="16"/>
      <c r="S391" s="16">
        <v>1501</v>
      </c>
      <c r="T391" s="16"/>
      <c r="U391" s="16">
        <v>0</v>
      </c>
      <c r="V391" s="16"/>
      <c r="W391" s="16">
        <v>0</v>
      </c>
      <c r="X391" s="16"/>
      <c r="Y391" s="16">
        <v>18000</v>
      </c>
      <c r="Z391" s="16"/>
      <c r="AA391" s="16">
        <v>0</v>
      </c>
      <c r="AB391" s="16"/>
      <c r="AC391" s="16">
        <v>0</v>
      </c>
      <c r="AD391" s="16"/>
      <c r="AE391" s="16">
        <f t="shared" si="11"/>
        <v>170408</v>
      </c>
    </row>
    <row r="392" spans="1:31" ht="12.75" customHeight="1">
      <c r="A392" s="1" t="s">
        <v>628</v>
      </c>
      <c r="C392" s="1" t="s">
        <v>293</v>
      </c>
      <c r="E392" s="16">
        <v>36925</v>
      </c>
      <c r="F392" s="16"/>
      <c r="G392" s="16">
        <v>522025</v>
      </c>
      <c r="H392" s="16"/>
      <c r="I392" s="16">
        <v>226431</v>
      </c>
      <c r="J392" s="16"/>
      <c r="K392" s="16">
        <v>72</v>
      </c>
      <c r="L392" s="16"/>
      <c r="M392" s="16">
        <v>23047</v>
      </c>
      <c r="N392" s="16"/>
      <c r="O392" s="16">
        <v>4155</v>
      </c>
      <c r="P392" s="16"/>
      <c r="Q392" s="16">
        <v>10842</v>
      </c>
      <c r="R392" s="16"/>
      <c r="S392" s="16">
        <v>7604</v>
      </c>
      <c r="T392" s="16"/>
      <c r="U392" s="16">
        <v>0</v>
      </c>
      <c r="V392" s="16"/>
      <c r="W392" s="16">
        <v>0</v>
      </c>
      <c r="X392" s="16"/>
      <c r="Y392" s="16">
        <v>28000</v>
      </c>
      <c r="Z392" s="16"/>
      <c r="AA392" s="16">
        <v>0</v>
      </c>
      <c r="AB392" s="16"/>
      <c r="AC392" s="16">
        <v>0</v>
      </c>
      <c r="AD392" s="16"/>
      <c r="AE392" s="16">
        <f t="shared" si="11"/>
        <v>859101</v>
      </c>
    </row>
    <row r="393" spans="1:31" ht="12.75" customHeight="1">
      <c r="A393" s="1" t="s">
        <v>576</v>
      </c>
      <c r="C393" s="1" t="s">
        <v>65</v>
      </c>
      <c r="E393" s="16">
        <v>21567</v>
      </c>
      <c r="F393" s="16"/>
      <c r="G393" s="16">
        <v>0</v>
      </c>
      <c r="H393" s="16"/>
      <c r="I393" s="16">
        <v>35917</v>
      </c>
      <c r="J393" s="16"/>
      <c r="K393" s="16">
        <v>11379</v>
      </c>
      <c r="L393" s="16"/>
      <c r="M393" s="16">
        <v>0</v>
      </c>
      <c r="N393" s="16"/>
      <c r="O393" s="16">
        <v>0</v>
      </c>
      <c r="P393" s="16"/>
      <c r="Q393" s="16">
        <v>2853</v>
      </c>
      <c r="R393" s="16"/>
      <c r="S393" s="16">
        <v>2961</v>
      </c>
      <c r="T393" s="16"/>
      <c r="U393" s="16">
        <v>0</v>
      </c>
      <c r="V393" s="16"/>
      <c r="W393" s="16">
        <v>0</v>
      </c>
      <c r="X393" s="16"/>
      <c r="Y393" s="16">
        <v>0</v>
      </c>
      <c r="Z393" s="16"/>
      <c r="AA393" s="16">
        <v>0</v>
      </c>
      <c r="AB393" s="16"/>
      <c r="AC393" s="16">
        <v>3850</v>
      </c>
      <c r="AD393" s="16"/>
      <c r="AE393" s="16">
        <f t="shared" si="11"/>
        <v>78527</v>
      </c>
    </row>
    <row r="394" spans="1:31" ht="12.75" customHeight="1">
      <c r="A394" s="1" t="s">
        <v>306</v>
      </c>
      <c r="B394" s="1"/>
      <c r="C394" s="1" t="s">
        <v>114</v>
      </c>
      <c r="D394" s="16"/>
      <c r="E394" s="16">
        <f>21720</f>
        <v>21720</v>
      </c>
      <c r="F394" s="16"/>
      <c r="G394" s="16">
        <v>0</v>
      </c>
      <c r="H394" s="16"/>
      <c r="I394" s="16">
        <f>36743+28857</f>
        <v>65600</v>
      </c>
      <c r="J394" s="16"/>
      <c r="K394" s="16">
        <v>8431</v>
      </c>
      <c r="L394" s="16"/>
      <c r="M394" s="16">
        <v>16459</v>
      </c>
      <c r="N394" s="16"/>
      <c r="O394" s="16">
        <v>75</v>
      </c>
      <c r="P394" s="16"/>
      <c r="Q394" s="16">
        <v>0</v>
      </c>
      <c r="R394" s="16"/>
      <c r="S394" s="16">
        <f>1466+546</f>
        <v>2012</v>
      </c>
      <c r="T394" s="16"/>
      <c r="U394" s="16">
        <v>0</v>
      </c>
      <c r="V394" s="16"/>
      <c r="W394" s="16">
        <v>0</v>
      </c>
      <c r="X394" s="16"/>
      <c r="Y394" s="16">
        <v>10000</v>
      </c>
      <c r="Z394" s="16"/>
      <c r="AA394" s="16">
        <v>0</v>
      </c>
      <c r="AB394" s="16"/>
      <c r="AC394" s="16">
        <v>0</v>
      </c>
      <c r="AD394" s="16"/>
      <c r="AE394" s="16">
        <f t="shared" si="11"/>
        <v>124297</v>
      </c>
    </row>
    <row r="395" spans="1:31" s="16" customFormat="1" ht="12.75" customHeight="1">
      <c r="A395" s="16" t="s">
        <v>307</v>
      </c>
      <c r="C395" s="16" t="s">
        <v>114</v>
      </c>
      <c r="E395" s="16">
        <v>4730</v>
      </c>
      <c r="G395" s="16">
        <v>0</v>
      </c>
      <c r="I395" s="16">
        <v>480918</v>
      </c>
      <c r="K395" s="16">
        <v>7975</v>
      </c>
      <c r="M395" s="16">
        <v>1930</v>
      </c>
      <c r="O395" s="16">
        <v>0</v>
      </c>
      <c r="Q395" s="16">
        <v>524</v>
      </c>
      <c r="S395" s="16">
        <v>305</v>
      </c>
      <c r="U395" s="16">
        <v>533134</v>
      </c>
      <c r="W395" s="16">
        <v>0</v>
      </c>
      <c r="Y395" s="16">
        <v>0</v>
      </c>
      <c r="AA395" s="16">
        <v>0</v>
      </c>
      <c r="AC395" s="16">
        <v>0</v>
      </c>
      <c r="AE395" s="16">
        <f t="shared" si="11"/>
        <v>1029516</v>
      </c>
    </row>
    <row r="396" spans="1:31" ht="12.75" customHeight="1">
      <c r="A396" s="1" t="s">
        <v>308</v>
      </c>
      <c r="B396" s="1"/>
      <c r="C396" s="1" t="s">
        <v>309</v>
      </c>
      <c r="D396" s="16"/>
      <c r="E396" s="16">
        <f>103396+37610</f>
        <v>141006</v>
      </c>
      <c r="F396" s="16"/>
      <c r="G396" s="16">
        <v>714595</v>
      </c>
      <c r="H396" s="16"/>
      <c r="I396" s="16">
        <f>207286+30394</f>
        <v>237680</v>
      </c>
      <c r="J396" s="16"/>
      <c r="K396" s="16">
        <f>30394</f>
        <v>30394</v>
      </c>
      <c r="L396" s="16"/>
      <c r="M396" s="16">
        <v>80805</v>
      </c>
      <c r="N396" s="16"/>
      <c r="O396" s="16">
        <v>14114</v>
      </c>
      <c r="P396" s="16"/>
      <c r="Q396" s="16">
        <v>0</v>
      </c>
      <c r="R396" s="16"/>
      <c r="S396" s="16">
        <v>41741</v>
      </c>
      <c r="T396" s="16"/>
      <c r="U396" s="16">
        <v>0</v>
      </c>
      <c r="V396" s="16"/>
      <c r="W396" s="16">
        <v>0</v>
      </c>
      <c r="X396" s="16"/>
      <c r="Y396" s="16">
        <v>507956</v>
      </c>
      <c r="Z396" s="16"/>
      <c r="AA396" s="16">
        <v>0</v>
      </c>
      <c r="AB396" s="16"/>
      <c r="AC396" s="16">
        <v>0</v>
      </c>
      <c r="AD396" s="16"/>
      <c r="AE396" s="16">
        <f t="shared" si="11"/>
        <v>1768291</v>
      </c>
    </row>
    <row r="397" spans="1:31" ht="12.75" customHeight="1">
      <c r="A397" s="1" t="s">
        <v>784</v>
      </c>
      <c r="B397" s="1"/>
      <c r="E397" s="1"/>
      <c r="F397" s="1"/>
      <c r="G397" s="1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20"/>
      <c r="AC397" s="16"/>
      <c r="AD397" s="20"/>
      <c r="AE397" s="32" t="s">
        <v>785</v>
      </c>
    </row>
    <row r="398" spans="1:31" s="36" customFormat="1" ht="12.75" customHeight="1">
      <c r="A398" s="36" t="s">
        <v>476</v>
      </c>
      <c r="B398" s="42"/>
      <c r="C398" s="36" t="s">
        <v>246</v>
      </c>
      <c r="E398" s="36">
        <v>402358</v>
      </c>
      <c r="G398" s="36">
        <v>594949</v>
      </c>
      <c r="I398" s="36">
        <v>491950</v>
      </c>
      <c r="K398" s="36">
        <v>89320</v>
      </c>
      <c r="M398" s="36">
        <v>122023</v>
      </c>
      <c r="O398" s="36">
        <v>89784</v>
      </c>
      <c r="Q398" s="36">
        <v>7704</v>
      </c>
      <c r="S398" s="36">
        <v>3000</v>
      </c>
      <c r="U398" s="36">
        <v>467667</v>
      </c>
      <c r="W398" s="36">
        <v>11755</v>
      </c>
      <c r="Y398" s="36">
        <v>4084</v>
      </c>
      <c r="AA398" s="36">
        <v>127000</v>
      </c>
      <c r="AC398" s="36">
        <v>3157</v>
      </c>
      <c r="AE398" s="36">
        <f aca="true" t="shared" si="12" ref="AE398:AE429">SUM(E398:AC398)</f>
        <v>2414751</v>
      </c>
    </row>
    <row r="399" spans="1:31" ht="12.75" customHeight="1">
      <c r="A399" s="1" t="s">
        <v>310</v>
      </c>
      <c r="B399" s="1"/>
      <c r="C399" s="1" t="s">
        <v>69</v>
      </c>
      <c r="D399" s="16"/>
      <c r="E399" s="16">
        <v>53406</v>
      </c>
      <c r="F399" s="16"/>
      <c r="G399" s="16">
        <v>0</v>
      </c>
      <c r="H399" s="16"/>
      <c r="I399" s="16">
        <f>29667+28487</f>
        <v>58154</v>
      </c>
      <c r="J399" s="16"/>
      <c r="K399" s="16">
        <v>0</v>
      </c>
      <c r="L399" s="16"/>
      <c r="M399" s="16">
        <v>0</v>
      </c>
      <c r="N399" s="16"/>
      <c r="O399" s="16">
        <v>238</v>
      </c>
      <c r="P399" s="16"/>
      <c r="Q399" s="16">
        <v>855</v>
      </c>
      <c r="R399" s="16"/>
      <c r="S399" s="16">
        <v>1782</v>
      </c>
      <c r="T399" s="16"/>
      <c r="U399" s="16">
        <v>0</v>
      </c>
      <c r="V399" s="16"/>
      <c r="W399" s="16">
        <v>0</v>
      </c>
      <c r="X399" s="16"/>
      <c r="Y399" s="16">
        <v>0</v>
      </c>
      <c r="Z399" s="16"/>
      <c r="AA399" s="16">
        <v>0</v>
      </c>
      <c r="AB399" s="16"/>
      <c r="AC399" s="16">
        <v>16272</v>
      </c>
      <c r="AD399" s="16"/>
      <c r="AE399" s="16">
        <f t="shared" si="12"/>
        <v>130707</v>
      </c>
    </row>
    <row r="400" spans="1:31" ht="12.75" customHeight="1">
      <c r="A400" s="1" t="s">
        <v>592</v>
      </c>
      <c r="C400" s="1" t="s">
        <v>591</v>
      </c>
      <c r="E400" s="16">
        <v>27252</v>
      </c>
      <c r="F400" s="16"/>
      <c r="G400" s="16">
        <v>0</v>
      </c>
      <c r="H400" s="16"/>
      <c r="I400" s="16">
        <v>34061</v>
      </c>
      <c r="J400" s="16"/>
      <c r="K400" s="16">
        <v>0</v>
      </c>
      <c r="L400" s="16"/>
      <c r="M400" s="16">
        <v>3500</v>
      </c>
      <c r="N400" s="16"/>
      <c r="O400" s="16">
        <v>17985</v>
      </c>
      <c r="P400" s="16"/>
      <c r="Q400" s="16">
        <v>80</v>
      </c>
      <c r="R400" s="16"/>
      <c r="S400" s="16">
        <v>8978</v>
      </c>
      <c r="T400" s="16"/>
      <c r="U400" s="16">
        <v>0</v>
      </c>
      <c r="V400" s="16"/>
      <c r="W400" s="16">
        <v>0</v>
      </c>
      <c r="X400" s="16"/>
      <c r="Y400" s="16">
        <v>1100</v>
      </c>
      <c r="Z400" s="16"/>
      <c r="AA400" s="16">
        <v>0</v>
      </c>
      <c r="AB400" s="16"/>
      <c r="AC400" s="16">
        <v>0</v>
      </c>
      <c r="AD400" s="16"/>
      <c r="AE400" s="16">
        <f t="shared" si="12"/>
        <v>92956</v>
      </c>
    </row>
    <row r="401" spans="1:31" ht="12.75" customHeight="1">
      <c r="A401" s="1" t="s">
        <v>311</v>
      </c>
      <c r="B401" s="1"/>
      <c r="C401" s="1" t="s">
        <v>312</v>
      </c>
      <c r="E401" s="16">
        <f>2384</f>
        <v>2384</v>
      </c>
      <c r="F401" s="16"/>
      <c r="G401" s="16">
        <v>0</v>
      </c>
      <c r="H401" s="16"/>
      <c r="I401" s="16">
        <v>9347</v>
      </c>
      <c r="J401" s="16"/>
      <c r="K401" s="16">
        <v>1297</v>
      </c>
      <c r="L401" s="16"/>
      <c r="M401" s="16">
        <v>0</v>
      </c>
      <c r="N401" s="16"/>
      <c r="O401" s="16">
        <v>0</v>
      </c>
      <c r="P401" s="16"/>
      <c r="Q401" s="16">
        <v>853</v>
      </c>
      <c r="R401" s="16"/>
      <c r="S401" s="16">
        <v>100</v>
      </c>
      <c r="T401" s="16"/>
      <c r="U401" s="16">
        <v>0</v>
      </c>
      <c r="V401" s="16"/>
      <c r="W401" s="16">
        <v>0</v>
      </c>
      <c r="X401" s="16"/>
      <c r="Y401" s="16">
        <v>0</v>
      </c>
      <c r="Z401" s="16"/>
      <c r="AA401" s="16">
        <v>0</v>
      </c>
      <c r="AB401" s="16"/>
      <c r="AC401" s="16">
        <v>0</v>
      </c>
      <c r="AD401" s="16"/>
      <c r="AE401" s="16">
        <f t="shared" si="12"/>
        <v>13981</v>
      </c>
    </row>
    <row r="402" spans="1:31" ht="12.75" customHeight="1">
      <c r="A402" s="1" t="s">
        <v>313</v>
      </c>
      <c r="B402" s="1"/>
      <c r="C402" s="1" t="s">
        <v>106</v>
      </c>
      <c r="D402" s="16"/>
      <c r="E402" s="16">
        <v>72024</v>
      </c>
      <c r="F402" s="16"/>
      <c r="G402" s="16">
        <f>693597-577324</f>
        <v>116273</v>
      </c>
      <c r="H402" s="16"/>
      <c r="I402" s="16">
        <f>186438</f>
        <v>186438</v>
      </c>
      <c r="J402" s="16"/>
      <c r="K402" s="16">
        <v>0</v>
      </c>
      <c r="L402" s="16"/>
      <c r="M402" s="16">
        <v>47184</v>
      </c>
      <c r="N402" s="16"/>
      <c r="O402" s="16">
        <v>5554</v>
      </c>
      <c r="P402" s="16"/>
      <c r="Q402" s="16">
        <v>21596</v>
      </c>
      <c r="R402" s="16"/>
      <c r="S402" s="16">
        <v>65189</v>
      </c>
      <c r="T402" s="16"/>
      <c r="U402" s="16">
        <v>0</v>
      </c>
      <c r="V402" s="16"/>
      <c r="W402" s="16">
        <v>0</v>
      </c>
      <c r="X402" s="16"/>
      <c r="Y402" s="16">
        <v>635000</v>
      </c>
      <c r="Z402" s="16"/>
      <c r="AA402" s="16">
        <v>0</v>
      </c>
      <c r="AB402" s="16"/>
      <c r="AC402" s="16">
        <v>0</v>
      </c>
      <c r="AD402" s="16"/>
      <c r="AE402" s="16">
        <f t="shared" si="12"/>
        <v>1149258</v>
      </c>
    </row>
    <row r="403" spans="1:31" ht="12.75" customHeight="1">
      <c r="A403" s="1" t="s">
        <v>314</v>
      </c>
      <c r="B403" s="1"/>
      <c r="C403" s="1" t="s">
        <v>170</v>
      </c>
      <c r="D403" s="16"/>
      <c r="E403" s="16">
        <v>3597</v>
      </c>
      <c r="F403" s="16"/>
      <c r="G403" s="16">
        <v>0</v>
      </c>
      <c r="H403" s="16"/>
      <c r="I403" s="16">
        <v>13431</v>
      </c>
      <c r="J403" s="16"/>
      <c r="K403" s="16">
        <v>0</v>
      </c>
      <c r="L403" s="16"/>
      <c r="M403" s="16">
        <v>0</v>
      </c>
      <c r="N403" s="16"/>
      <c r="O403" s="16">
        <v>0</v>
      </c>
      <c r="P403" s="16"/>
      <c r="Q403" s="16">
        <v>83</v>
      </c>
      <c r="R403" s="16"/>
      <c r="S403" s="16">
        <v>5</v>
      </c>
      <c r="T403" s="16"/>
      <c r="U403" s="16">
        <v>0</v>
      </c>
      <c r="V403" s="16"/>
      <c r="W403" s="16">
        <v>0</v>
      </c>
      <c r="X403" s="16"/>
      <c r="Y403" s="16">
        <v>0</v>
      </c>
      <c r="Z403" s="16"/>
      <c r="AA403" s="16">
        <v>0</v>
      </c>
      <c r="AB403" s="16"/>
      <c r="AC403" s="16">
        <v>0</v>
      </c>
      <c r="AD403" s="16"/>
      <c r="AE403" s="16">
        <f t="shared" si="12"/>
        <v>17116</v>
      </c>
    </row>
    <row r="404" spans="1:31" ht="12.75" customHeight="1">
      <c r="A404" s="1" t="s">
        <v>315</v>
      </c>
      <c r="B404" s="1"/>
      <c r="C404" s="1" t="s">
        <v>151</v>
      </c>
      <c r="D404" s="16"/>
      <c r="E404" s="16">
        <v>27175</v>
      </c>
      <c r="F404" s="16"/>
      <c r="G404" s="16">
        <v>0</v>
      </c>
      <c r="H404" s="16"/>
      <c r="I404" s="16">
        <v>52265</v>
      </c>
      <c r="J404" s="16"/>
      <c r="K404" s="16">
        <v>0</v>
      </c>
      <c r="L404" s="16"/>
      <c r="M404" s="16">
        <v>0</v>
      </c>
      <c r="N404" s="16"/>
      <c r="O404" s="16">
        <v>253</v>
      </c>
      <c r="P404" s="16"/>
      <c r="Q404" s="16">
        <v>0</v>
      </c>
      <c r="R404" s="16"/>
      <c r="S404" s="16">
        <v>1678</v>
      </c>
      <c r="T404" s="16"/>
      <c r="U404" s="16">
        <v>0</v>
      </c>
      <c r="V404" s="16"/>
      <c r="W404" s="16">
        <v>0</v>
      </c>
      <c r="X404" s="16"/>
      <c r="Y404" s="16">
        <v>83939</v>
      </c>
      <c r="Z404" s="16"/>
      <c r="AA404" s="16">
        <v>0</v>
      </c>
      <c r="AB404" s="16"/>
      <c r="AC404" s="16">
        <v>0</v>
      </c>
      <c r="AD404" s="16"/>
      <c r="AE404" s="16">
        <f t="shared" si="12"/>
        <v>165310</v>
      </c>
    </row>
    <row r="405" spans="1:31" ht="12.75" customHeight="1">
      <c r="A405" s="1" t="s">
        <v>494</v>
      </c>
      <c r="C405" s="1" t="s">
        <v>102</v>
      </c>
      <c r="E405" s="16">
        <v>2026</v>
      </c>
      <c r="F405" s="16"/>
      <c r="G405" s="16">
        <v>0</v>
      </c>
      <c r="H405" s="16"/>
      <c r="I405" s="16">
        <v>21632</v>
      </c>
      <c r="J405" s="16"/>
      <c r="K405" s="16">
        <v>0</v>
      </c>
      <c r="L405" s="16"/>
      <c r="M405" s="16">
        <v>4380</v>
      </c>
      <c r="N405" s="16"/>
      <c r="O405" s="16">
        <v>0</v>
      </c>
      <c r="P405" s="16"/>
      <c r="Q405" s="16">
        <v>560</v>
      </c>
      <c r="R405" s="16"/>
      <c r="S405" s="16">
        <v>7713</v>
      </c>
      <c r="T405" s="16"/>
      <c r="U405" s="16">
        <v>0</v>
      </c>
      <c r="V405" s="16"/>
      <c r="W405" s="16">
        <v>0</v>
      </c>
      <c r="X405" s="16"/>
      <c r="Y405" s="16">
        <v>137</v>
      </c>
      <c r="Z405" s="16"/>
      <c r="AA405" s="16">
        <v>800</v>
      </c>
      <c r="AB405" s="16"/>
      <c r="AC405" s="16">
        <v>0</v>
      </c>
      <c r="AD405" s="16"/>
      <c r="AE405" s="16">
        <f t="shared" si="12"/>
        <v>37248</v>
      </c>
    </row>
    <row r="406" spans="1:31" ht="12.75" customHeight="1">
      <c r="A406" s="1" t="s">
        <v>316</v>
      </c>
      <c r="B406" s="1"/>
      <c r="C406" s="1" t="s">
        <v>149</v>
      </c>
      <c r="D406" s="16"/>
      <c r="E406" s="16">
        <v>743761</v>
      </c>
      <c r="F406" s="16"/>
      <c r="G406" s="16">
        <v>6481752</v>
      </c>
      <c r="H406" s="16"/>
      <c r="I406" s="16">
        <v>877118</v>
      </c>
      <c r="J406" s="16"/>
      <c r="K406" s="16">
        <v>0</v>
      </c>
      <c r="L406" s="16"/>
      <c r="M406" s="16">
        <v>118160</v>
      </c>
      <c r="N406" s="16"/>
      <c r="O406" s="16">
        <f>1493600+12149</f>
        <v>1505749</v>
      </c>
      <c r="P406" s="16"/>
      <c r="Q406" s="16">
        <v>137424</v>
      </c>
      <c r="R406" s="16"/>
      <c r="S406" s="16">
        <f>67113+462973</f>
        <v>530086</v>
      </c>
      <c r="T406" s="16"/>
      <c r="U406" s="16">
        <v>76896</v>
      </c>
      <c r="V406" s="16"/>
      <c r="W406" s="16">
        <v>0</v>
      </c>
      <c r="X406" s="16"/>
      <c r="Y406" s="16">
        <v>544000</v>
      </c>
      <c r="Z406" s="16"/>
      <c r="AA406" s="16">
        <v>0</v>
      </c>
      <c r="AB406" s="16"/>
      <c r="AC406" s="16">
        <v>0</v>
      </c>
      <c r="AD406" s="16"/>
      <c r="AE406" s="16">
        <f t="shared" si="12"/>
        <v>11014946</v>
      </c>
    </row>
    <row r="407" spans="1:31" ht="12.75" customHeight="1">
      <c r="A407" s="1" t="s">
        <v>582</v>
      </c>
      <c r="C407" s="1" t="s">
        <v>133</v>
      </c>
      <c r="E407" s="16">
        <v>16481</v>
      </c>
      <c r="F407" s="16"/>
      <c r="G407" s="16">
        <v>0</v>
      </c>
      <c r="H407" s="16"/>
      <c r="I407" s="16">
        <v>64246</v>
      </c>
      <c r="J407" s="16"/>
      <c r="K407" s="16">
        <v>0</v>
      </c>
      <c r="L407" s="16"/>
      <c r="M407" s="16">
        <v>2533</v>
      </c>
      <c r="N407" s="16"/>
      <c r="O407" s="16">
        <v>330</v>
      </c>
      <c r="P407" s="16"/>
      <c r="Q407" s="16">
        <v>33</v>
      </c>
      <c r="R407" s="16"/>
      <c r="S407" s="16">
        <v>2950</v>
      </c>
      <c r="T407" s="16"/>
      <c r="U407" s="16">
        <v>0</v>
      </c>
      <c r="V407" s="16"/>
      <c r="W407" s="16">
        <v>0</v>
      </c>
      <c r="X407" s="16"/>
      <c r="Y407" s="16">
        <v>0</v>
      </c>
      <c r="Z407" s="16"/>
      <c r="AA407" s="16">
        <v>0</v>
      </c>
      <c r="AB407" s="16"/>
      <c r="AC407" s="16">
        <v>691</v>
      </c>
      <c r="AD407" s="16"/>
      <c r="AE407" s="16">
        <f t="shared" si="12"/>
        <v>87264</v>
      </c>
    </row>
    <row r="408" spans="1:31" ht="12.75" customHeight="1">
      <c r="A408" s="1" t="s">
        <v>587</v>
      </c>
      <c r="C408" s="1" t="s">
        <v>239</v>
      </c>
      <c r="E408" s="16">
        <v>9133</v>
      </c>
      <c r="F408" s="16"/>
      <c r="G408" s="16">
        <v>0</v>
      </c>
      <c r="H408" s="16"/>
      <c r="I408" s="16">
        <v>4151</v>
      </c>
      <c r="J408" s="16"/>
      <c r="K408" s="16">
        <v>0</v>
      </c>
      <c r="L408" s="16"/>
      <c r="M408" s="16">
        <v>0</v>
      </c>
      <c r="N408" s="16"/>
      <c r="O408" s="16">
        <v>0</v>
      </c>
      <c r="P408" s="16"/>
      <c r="Q408" s="16">
        <v>42</v>
      </c>
      <c r="R408" s="16"/>
      <c r="S408" s="16">
        <v>370</v>
      </c>
      <c r="T408" s="16"/>
      <c r="U408" s="16">
        <v>0</v>
      </c>
      <c r="V408" s="16"/>
      <c r="W408" s="16">
        <v>0</v>
      </c>
      <c r="X408" s="16"/>
      <c r="Y408" s="16">
        <v>0</v>
      </c>
      <c r="Z408" s="16"/>
      <c r="AA408" s="16">
        <v>0</v>
      </c>
      <c r="AB408" s="16"/>
      <c r="AC408" s="16">
        <v>0</v>
      </c>
      <c r="AD408" s="16"/>
      <c r="AE408" s="16">
        <f t="shared" si="12"/>
        <v>13696</v>
      </c>
    </row>
    <row r="409" spans="1:31" ht="12.75" customHeight="1">
      <c r="A409" s="1" t="s">
        <v>638</v>
      </c>
      <c r="C409" s="1" t="s">
        <v>268</v>
      </c>
      <c r="E409" s="16">
        <v>18883</v>
      </c>
      <c r="F409" s="16"/>
      <c r="G409" s="16">
        <v>19438</v>
      </c>
      <c r="H409" s="16"/>
      <c r="I409" s="16">
        <v>27997</v>
      </c>
      <c r="J409" s="16"/>
      <c r="K409" s="16">
        <v>0</v>
      </c>
      <c r="L409" s="16"/>
      <c r="M409" s="16">
        <v>0</v>
      </c>
      <c r="N409" s="16"/>
      <c r="O409" s="16">
        <v>1240</v>
      </c>
      <c r="P409" s="16"/>
      <c r="Q409" s="16">
        <v>1115</v>
      </c>
      <c r="R409" s="16"/>
      <c r="S409" s="16">
        <v>1141</v>
      </c>
      <c r="T409" s="16"/>
      <c r="U409" s="16">
        <v>0</v>
      </c>
      <c r="V409" s="16"/>
      <c r="W409" s="16">
        <v>0</v>
      </c>
      <c r="X409" s="16"/>
      <c r="Y409" s="16">
        <v>0</v>
      </c>
      <c r="Z409" s="16"/>
      <c r="AA409" s="16">
        <v>0</v>
      </c>
      <c r="AB409" s="16"/>
      <c r="AC409" s="16">
        <v>0</v>
      </c>
      <c r="AD409" s="16"/>
      <c r="AE409" s="16">
        <f t="shared" si="12"/>
        <v>69814</v>
      </c>
    </row>
    <row r="410" spans="1:31" ht="12.75" customHeight="1">
      <c r="A410" s="1" t="s">
        <v>317</v>
      </c>
      <c r="B410" s="1"/>
      <c r="C410" s="1" t="s">
        <v>318</v>
      </c>
      <c r="D410" s="16"/>
      <c r="E410" s="16">
        <f>383780-18872</f>
        <v>364908</v>
      </c>
      <c r="F410" s="16"/>
      <c r="G410" s="16">
        <v>967984</v>
      </c>
      <c r="H410" s="16"/>
      <c r="I410" s="16">
        <f>340661-1994</f>
        <v>338667</v>
      </c>
      <c r="J410" s="16"/>
      <c r="K410" s="16">
        <v>138</v>
      </c>
      <c r="L410" s="16"/>
      <c r="M410" s="16">
        <v>15360</v>
      </c>
      <c r="N410" s="16"/>
      <c r="O410" s="16">
        <v>20918</v>
      </c>
      <c r="P410" s="16"/>
      <c r="Q410" s="16">
        <v>4698</v>
      </c>
      <c r="R410" s="16"/>
      <c r="S410" s="16">
        <f>126153-2000</f>
        <v>124153</v>
      </c>
      <c r="T410" s="16"/>
      <c r="U410" s="16">
        <v>0</v>
      </c>
      <c r="V410" s="16"/>
      <c r="W410" s="16">
        <v>8000</v>
      </c>
      <c r="X410" s="16"/>
      <c r="Y410" s="16">
        <v>10000</v>
      </c>
      <c r="Z410" s="16"/>
      <c r="AA410" s="16">
        <v>0</v>
      </c>
      <c r="AB410" s="16"/>
      <c r="AC410" s="16">
        <v>0</v>
      </c>
      <c r="AD410" s="16"/>
      <c r="AE410" s="16">
        <f t="shared" si="12"/>
        <v>1854826</v>
      </c>
    </row>
    <row r="411" spans="1:31" ht="12.75" customHeight="1">
      <c r="A411" s="1" t="s">
        <v>319</v>
      </c>
      <c r="B411" s="1"/>
      <c r="C411" s="1" t="s">
        <v>177</v>
      </c>
      <c r="E411" s="16">
        <v>161457</v>
      </c>
      <c r="F411" s="16"/>
      <c r="G411" s="16">
        <v>0</v>
      </c>
      <c r="H411" s="16"/>
      <c r="I411" s="16">
        <v>359194</v>
      </c>
      <c r="J411" s="16"/>
      <c r="K411" s="16">
        <v>33826</v>
      </c>
      <c r="L411" s="16"/>
      <c r="M411" s="16">
        <v>30428</v>
      </c>
      <c r="N411" s="16"/>
      <c r="O411" s="16">
        <v>12315</v>
      </c>
      <c r="P411" s="16"/>
      <c r="Q411" s="16">
        <f>44784-78</f>
        <v>44706</v>
      </c>
      <c r="R411" s="16"/>
      <c r="S411" s="16">
        <v>210675</v>
      </c>
      <c r="T411" s="16"/>
      <c r="U411" s="16">
        <v>44528</v>
      </c>
      <c r="V411" s="16"/>
      <c r="W411" s="16">
        <v>0</v>
      </c>
      <c r="X411" s="16"/>
      <c r="Y411" s="16">
        <v>1148453</v>
      </c>
      <c r="Z411" s="16"/>
      <c r="AA411" s="16">
        <v>0</v>
      </c>
      <c r="AB411" s="16"/>
      <c r="AC411" s="16">
        <v>0</v>
      </c>
      <c r="AD411" s="16"/>
      <c r="AE411" s="16">
        <f t="shared" si="12"/>
        <v>2045582</v>
      </c>
    </row>
    <row r="412" spans="1:31" ht="12.75" customHeight="1">
      <c r="A412" s="1" t="s">
        <v>320</v>
      </c>
      <c r="B412" s="1"/>
      <c r="C412" s="1" t="s">
        <v>67</v>
      </c>
      <c r="D412" s="16"/>
      <c r="E412" s="16">
        <v>535098</v>
      </c>
      <c r="F412" s="16"/>
      <c r="G412" s="16">
        <v>0</v>
      </c>
      <c r="H412" s="16"/>
      <c r="I412" s="16">
        <v>251793</v>
      </c>
      <c r="J412" s="16"/>
      <c r="K412" s="16">
        <v>18270</v>
      </c>
      <c r="L412" s="16"/>
      <c r="M412" s="16">
        <v>199862</v>
      </c>
      <c r="N412" s="16"/>
      <c r="O412" s="16">
        <v>68705</v>
      </c>
      <c r="P412" s="16"/>
      <c r="Q412" s="16">
        <v>9926</v>
      </c>
      <c r="R412" s="16"/>
      <c r="S412" s="16">
        <f>35165-9926</f>
        <v>25239</v>
      </c>
      <c r="T412" s="16"/>
      <c r="U412" s="16">
        <v>702277</v>
      </c>
      <c r="V412" s="16"/>
      <c r="W412" s="16">
        <v>0</v>
      </c>
      <c r="X412" s="16"/>
      <c r="Y412" s="16">
        <v>122872</v>
      </c>
      <c r="Z412" s="16"/>
      <c r="AA412" s="16">
        <v>0</v>
      </c>
      <c r="AB412" s="16"/>
      <c r="AC412" s="16">
        <v>0</v>
      </c>
      <c r="AD412" s="16"/>
      <c r="AE412" s="16">
        <f t="shared" si="12"/>
        <v>1934042</v>
      </c>
    </row>
    <row r="413" spans="1:31" ht="12.75" customHeight="1">
      <c r="A413" s="1" t="s">
        <v>321</v>
      </c>
      <c r="B413" s="1"/>
      <c r="C413" s="1" t="s">
        <v>129</v>
      </c>
      <c r="D413" s="16"/>
      <c r="E413" s="16">
        <v>26812</v>
      </c>
      <c r="F413" s="16"/>
      <c r="G413" s="16">
        <v>0</v>
      </c>
      <c r="H413" s="16"/>
      <c r="I413" s="16">
        <v>0</v>
      </c>
      <c r="J413" s="16"/>
      <c r="K413" s="16">
        <v>0</v>
      </c>
      <c r="L413" s="16"/>
      <c r="M413" s="16">
        <v>11020</v>
      </c>
      <c r="N413" s="16"/>
      <c r="O413" s="16">
        <v>2620</v>
      </c>
      <c r="P413" s="16"/>
      <c r="Q413" s="16">
        <v>77</v>
      </c>
      <c r="R413" s="16"/>
      <c r="S413" s="16">
        <v>0</v>
      </c>
      <c r="T413" s="16"/>
      <c r="U413" s="16">
        <v>0</v>
      </c>
      <c r="V413" s="16"/>
      <c r="W413" s="16">
        <v>0</v>
      </c>
      <c r="X413" s="16"/>
      <c r="Y413" s="16">
        <v>0</v>
      </c>
      <c r="Z413" s="16"/>
      <c r="AA413" s="16">
        <v>1180</v>
      </c>
      <c r="AB413" s="16"/>
      <c r="AC413" s="16">
        <v>0</v>
      </c>
      <c r="AD413" s="16"/>
      <c r="AE413" s="16">
        <f t="shared" si="12"/>
        <v>41709</v>
      </c>
    </row>
    <row r="414" spans="1:31" ht="12.75" customHeight="1">
      <c r="A414" s="1" t="s">
        <v>686</v>
      </c>
      <c r="C414" s="1" t="s">
        <v>184</v>
      </c>
      <c r="E414" s="16">
        <v>63678</v>
      </c>
      <c r="F414" s="16"/>
      <c r="G414" s="16">
        <v>0</v>
      </c>
      <c r="H414" s="16"/>
      <c r="I414" s="16">
        <v>71199</v>
      </c>
      <c r="J414" s="16"/>
      <c r="K414" s="16">
        <v>0</v>
      </c>
      <c r="L414" s="16"/>
      <c r="M414" s="16">
        <v>560</v>
      </c>
      <c r="N414" s="16"/>
      <c r="O414" s="16">
        <v>11371</v>
      </c>
      <c r="P414" s="16"/>
      <c r="Q414" s="16">
        <v>2980</v>
      </c>
      <c r="R414" s="16"/>
      <c r="S414" s="16">
        <v>2251</v>
      </c>
      <c r="T414" s="16"/>
      <c r="U414" s="16">
        <v>0</v>
      </c>
      <c r="V414" s="16"/>
      <c r="W414" s="16">
        <v>0</v>
      </c>
      <c r="X414" s="16"/>
      <c r="Y414" s="16">
        <v>0</v>
      </c>
      <c r="Z414" s="16"/>
      <c r="AA414" s="16">
        <v>0</v>
      </c>
      <c r="AB414" s="16"/>
      <c r="AC414" s="16">
        <v>412</v>
      </c>
      <c r="AD414" s="16"/>
      <c r="AE414" s="16">
        <f t="shared" si="12"/>
        <v>152451</v>
      </c>
    </row>
    <row r="415" spans="1:31" ht="12.75" customHeight="1">
      <c r="A415" s="1" t="s">
        <v>462</v>
      </c>
      <c r="B415" s="1"/>
      <c r="C415" s="1" t="s">
        <v>177</v>
      </c>
      <c r="E415" s="16">
        <v>70597</v>
      </c>
      <c r="F415" s="16"/>
      <c r="G415" s="16">
        <v>246095</v>
      </c>
      <c r="H415" s="16"/>
      <c r="I415" s="16">
        <v>220073</v>
      </c>
      <c r="J415" s="16"/>
      <c r="K415" s="16">
        <v>15950</v>
      </c>
      <c r="L415" s="16"/>
      <c r="M415" s="16">
        <v>88196</v>
      </c>
      <c r="N415" s="16"/>
      <c r="O415" s="16">
        <v>3623</v>
      </c>
      <c r="P415" s="16"/>
      <c r="Q415" s="16">
        <v>6936</v>
      </c>
      <c r="R415" s="16"/>
      <c r="S415" s="16">
        <v>7686</v>
      </c>
      <c r="T415" s="16"/>
      <c r="U415" s="16">
        <v>0</v>
      </c>
      <c r="V415" s="16"/>
      <c r="W415" s="16">
        <v>0</v>
      </c>
      <c r="X415" s="16"/>
      <c r="Y415" s="16">
        <v>9336</v>
      </c>
      <c r="Z415" s="16"/>
      <c r="AA415" s="16">
        <v>15000</v>
      </c>
      <c r="AB415" s="16"/>
      <c r="AC415" s="16">
        <v>0</v>
      </c>
      <c r="AD415" s="16"/>
      <c r="AE415" s="16">
        <f t="shared" si="12"/>
        <v>683492</v>
      </c>
    </row>
    <row r="416" spans="1:31" ht="12.75" customHeight="1">
      <c r="A416" s="1" t="s">
        <v>322</v>
      </c>
      <c r="B416" s="1"/>
      <c r="C416" s="1" t="s">
        <v>217</v>
      </c>
      <c r="D416" s="16"/>
      <c r="E416" s="16">
        <f>532361</f>
        <v>532361</v>
      </c>
      <c r="F416" s="16"/>
      <c r="G416" s="16">
        <v>840699</v>
      </c>
      <c r="H416" s="16"/>
      <c r="I416" s="16">
        <v>503939</v>
      </c>
      <c r="J416" s="16"/>
      <c r="K416" s="16">
        <v>105196</v>
      </c>
      <c r="L416" s="16"/>
      <c r="M416" s="16">
        <v>380078</v>
      </c>
      <c r="N416" s="16"/>
      <c r="O416" s="16">
        <v>3220</v>
      </c>
      <c r="P416" s="16"/>
      <c r="Q416" s="16">
        <v>19164</v>
      </c>
      <c r="R416" s="16"/>
      <c r="S416" s="16">
        <v>229532</v>
      </c>
      <c r="T416" s="16"/>
      <c r="U416" s="16">
        <v>2039360</v>
      </c>
      <c r="V416" s="16"/>
      <c r="W416" s="16">
        <v>528</v>
      </c>
      <c r="X416" s="16"/>
      <c r="Y416" s="16">
        <v>1181082</v>
      </c>
      <c r="Z416" s="16"/>
      <c r="AA416" s="16">
        <v>0</v>
      </c>
      <c r="AB416" s="16"/>
      <c r="AC416" s="16">
        <v>47491</v>
      </c>
      <c r="AD416" s="16"/>
      <c r="AE416" s="16">
        <f t="shared" si="12"/>
        <v>5882650</v>
      </c>
    </row>
    <row r="417" spans="1:31" ht="12.75" customHeight="1">
      <c r="A417" s="1" t="s">
        <v>323</v>
      </c>
      <c r="B417" s="1"/>
      <c r="C417" s="1" t="s">
        <v>303</v>
      </c>
      <c r="D417" s="16"/>
      <c r="E417" s="16">
        <v>412598</v>
      </c>
      <c r="F417" s="16"/>
      <c r="G417" s="16">
        <v>0</v>
      </c>
      <c r="H417" s="16"/>
      <c r="I417" s="16">
        <v>278616</v>
      </c>
      <c r="J417" s="16"/>
      <c r="K417" s="16">
        <v>0</v>
      </c>
      <c r="L417" s="16"/>
      <c r="M417" s="16">
        <v>69489</v>
      </c>
      <c r="N417" s="16"/>
      <c r="O417" s="16">
        <v>30988</v>
      </c>
      <c r="P417" s="16"/>
      <c r="Q417" s="16">
        <v>8483</v>
      </c>
      <c r="R417" s="16"/>
      <c r="S417" s="16">
        <v>25573</v>
      </c>
      <c r="T417" s="16"/>
      <c r="U417" s="16">
        <v>0</v>
      </c>
      <c r="V417" s="16"/>
      <c r="W417" s="16">
        <v>0</v>
      </c>
      <c r="X417" s="16"/>
      <c r="Y417" s="16">
        <v>386209</v>
      </c>
      <c r="Z417" s="16"/>
      <c r="AA417" s="16">
        <v>0</v>
      </c>
      <c r="AB417" s="16"/>
      <c r="AC417" s="16">
        <v>85145</v>
      </c>
      <c r="AD417" s="16"/>
      <c r="AE417" s="16">
        <f t="shared" si="12"/>
        <v>1297101</v>
      </c>
    </row>
    <row r="418" spans="1:31" ht="12.75" customHeight="1">
      <c r="A418" s="1" t="s">
        <v>522</v>
      </c>
      <c r="C418" s="1" t="s">
        <v>78</v>
      </c>
      <c r="E418" s="16">
        <v>119284</v>
      </c>
      <c r="F418" s="16"/>
      <c r="G418" s="16">
        <v>0</v>
      </c>
      <c r="H418" s="16"/>
      <c r="I418" s="16">
        <v>188133</v>
      </c>
      <c r="J418" s="16"/>
      <c r="K418" s="16">
        <v>0</v>
      </c>
      <c r="L418" s="16"/>
      <c r="M418" s="16">
        <v>53525</v>
      </c>
      <c r="N418" s="16"/>
      <c r="O418" s="16">
        <v>576</v>
      </c>
      <c r="P418" s="16"/>
      <c r="Q418" s="16">
        <v>1842</v>
      </c>
      <c r="R418" s="16"/>
      <c r="S418" s="16">
        <v>36</v>
      </c>
      <c r="T418" s="16"/>
      <c r="U418" s="16">
        <v>0</v>
      </c>
      <c r="V418" s="16"/>
      <c r="W418" s="16">
        <v>0</v>
      </c>
      <c r="X418" s="16"/>
      <c r="Y418" s="16">
        <v>0</v>
      </c>
      <c r="Z418" s="16"/>
      <c r="AA418" s="16">
        <v>0</v>
      </c>
      <c r="AB418" s="16"/>
      <c r="AC418" s="16">
        <v>43666</v>
      </c>
      <c r="AD418" s="16"/>
      <c r="AE418" s="16">
        <f t="shared" si="12"/>
        <v>407062</v>
      </c>
    </row>
    <row r="419" spans="1:31" ht="12.75" customHeight="1">
      <c r="A419" s="1" t="s">
        <v>633</v>
      </c>
      <c r="C419" s="1" t="s">
        <v>378</v>
      </c>
      <c r="E419" s="16">
        <v>273731</v>
      </c>
      <c r="F419" s="16"/>
      <c r="G419" s="16">
        <v>0</v>
      </c>
      <c r="H419" s="16"/>
      <c r="I419" s="16">
        <v>272810</v>
      </c>
      <c r="J419" s="16"/>
      <c r="K419" s="16">
        <v>9520</v>
      </c>
      <c r="L419" s="16"/>
      <c r="M419" s="16">
        <v>8889</v>
      </c>
      <c r="N419" s="16"/>
      <c r="O419" s="16">
        <v>43407</v>
      </c>
      <c r="P419" s="16"/>
      <c r="Q419" s="16">
        <v>2663</v>
      </c>
      <c r="R419" s="16"/>
      <c r="S419" s="16">
        <v>53038</v>
      </c>
      <c r="T419" s="16"/>
      <c r="U419" s="16">
        <v>0</v>
      </c>
      <c r="V419" s="16"/>
      <c r="W419" s="16">
        <v>0</v>
      </c>
      <c r="X419" s="16"/>
      <c r="Y419" s="16">
        <v>25000</v>
      </c>
      <c r="Z419" s="16"/>
      <c r="AA419" s="16">
        <v>150000</v>
      </c>
      <c r="AB419" s="16"/>
      <c r="AC419" s="16">
        <v>7043</v>
      </c>
      <c r="AD419" s="16"/>
      <c r="AE419" s="16">
        <f t="shared" si="12"/>
        <v>846101</v>
      </c>
    </row>
    <row r="420" spans="1:31" ht="12.75" customHeight="1">
      <c r="A420" s="1" t="s">
        <v>699</v>
      </c>
      <c r="C420" s="1" t="s">
        <v>225</v>
      </c>
      <c r="E420" s="16">
        <v>89584</v>
      </c>
      <c r="F420" s="16"/>
      <c r="G420" s="16">
        <v>0</v>
      </c>
      <c r="H420" s="16"/>
      <c r="I420" s="16">
        <v>215251</v>
      </c>
      <c r="J420" s="16"/>
      <c r="K420" s="16">
        <v>0</v>
      </c>
      <c r="L420" s="16"/>
      <c r="M420" s="16">
        <v>19</v>
      </c>
      <c r="N420" s="16"/>
      <c r="O420" s="16">
        <v>5018</v>
      </c>
      <c r="P420" s="16"/>
      <c r="Q420" s="16">
        <v>7291</v>
      </c>
      <c r="R420" s="16"/>
      <c r="S420" s="16">
        <v>15126</v>
      </c>
      <c r="T420" s="16"/>
      <c r="U420" s="16">
        <v>0</v>
      </c>
      <c r="V420" s="16"/>
      <c r="W420" s="16">
        <v>0</v>
      </c>
      <c r="X420" s="16"/>
      <c r="Y420" s="16">
        <v>1086</v>
      </c>
      <c r="Z420" s="16"/>
      <c r="AA420" s="16">
        <v>0</v>
      </c>
      <c r="AB420" s="16"/>
      <c r="AC420" s="16">
        <v>0</v>
      </c>
      <c r="AD420" s="16"/>
      <c r="AE420" s="16">
        <f t="shared" si="12"/>
        <v>333375</v>
      </c>
    </row>
    <row r="421" spans="1:31" ht="12.75" customHeight="1">
      <c r="A421" s="1" t="s">
        <v>496</v>
      </c>
      <c r="C421" s="1" t="s">
        <v>102</v>
      </c>
      <c r="E421" s="16">
        <v>1142414</v>
      </c>
      <c r="F421" s="16"/>
      <c r="G421" s="16">
        <v>0</v>
      </c>
      <c r="H421" s="16"/>
      <c r="I421" s="16">
        <v>224416</v>
      </c>
      <c r="J421" s="16"/>
      <c r="K421" s="16">
        <v>150</v>
      </c>
      <c r="L421" s="16"/>
      <c r="M421" s="16">
        <v>237866</v>
      </c>
      <c r="N421" s="16"/>
      <c r="O421" s="16">
        <v>88207</v>
      </c>
      <c r="P421" s="16"/>
      <c r="Q421" s="16">
        <v>7365</v>
      </c>
      <c r="R421" s="16"/>
      <c r="S421" s="16">
        <v>77199</v>
      </c>
      <c r="T421" s="16"/>
      <c r="U421" s="16">
        <v>20000</v>
      </c>
      <c r="V421" s="16"/>
      <c r="W421" s="16">
        <v>0</v>
      </c>
      <c r="X421" s="16"/>
      <c r="Y421" s="16">
        <v>102773</v>
      </c>
      <c r="Z421" s="16"/>
      <c r="AA421" s="16">
        <v>0</v>
      </c>
      <c r="AB421" s="16"/>
      <c r="AC421" s="16">
        <v>0</v>
      </c>
      <c r="AD421" s="16"/>
      <c r="AE421" s="16">
        <f t="shared" si="12"/>
        <v>1900390</v>
      </c>
    </row>
    <row r="422" spans="1:31" ht="12.75" customHeight="1">
      <c r="A422" s="1" t="s">
        <v>724</v>
      </c>
      <c r="C422" s="1" t="s">
        <v>118</v>
      </c>
      <c r="E422" s="16">
        <v>17443</v>
      </c>
      <c r="F422" s="16"/>
      <c r="G422" s="16">
        <v>119180</v>
      </c>
      <c r="H422" s="16"/>
      <c r="I422" s="16">
        <v>101431</v>
      </c>
      <c r="J422" s="16"/>
      <c r="K422" s="16">
        <v>0</v>
      </c>
      <c r="L422" s="16"/>
      <c r="M422" s="16">
        <v>35922</v>
      </c>
      <c r="N422" s="16"/>
      <c r="O422" s="16">
        <v>3344</v>
      </c>
      <c r="P422" s="16"/>
      <c r="Q422" s="16">
        <v>2594</v>
      </c>
      <c r="R422" s="16"/>
      <c r="S422" s="16">
        <v>22407</v>
      </c>
      <c r="T422" s="16"/>
      <c r="U422" s="16">
        <v>0</v>
      </c>
      <c r="V422" s="16"/>
      <c r="W422" s="16">
        <v>0</v>
      </c>
      <c r="X422" s="16"/>
      <c r="Y422" s="16">
        <v>0</v>
      </c>
      <c r="Z422" s="16"/>
      <c r="AA422" s="16">
        <v>0</v>
      </c>
      <c r="AB422" s="16"/>
      <c r="AC422" s="16">
        <v>0</v>
      </c>
      <c r="AD422" s="16"/>
      <c r="AE422" s="16">
        <f t="shared" si="12"/>
        <v>302321</v>
      </c>
    </row>
    <row r="423" spans="1:31" ht="12.75" customHeight="1">
      <c r="A423" s="1" t="s">
        <v>501</v>
      </c>
      <c r="C423" s="1" t="s">
        <v>122</v>
      </c>
      <c r="E423" s="16">
        <v>73735</v>
      </c>
      <c r="F423" s="16"/>
      <c r="G423" s="16">
        <v>0</v>
      </c>
      <c r="H423" s="16"/>
      <c r="I423" s="16">
        <v>77089</v>
      </c>
      <c r="J423" s="16"/>
      <c r="K423" s="16">
        <v>0</v>
      </c>
      <c r="L423" s="16"/>
      <c r="M423" s="16">
        <v>0</v>
      </c>
      <c r="N423" s="16"/>
      <c r="O423" s="16">
        <v>22487</v>
      </c>
      <c r="P423" s="16"/>
      <c r="Q423" s="16">
        <v>8772</v>
      </c>
      <c r="R423" s="16"/>
      <c r="S423" s="16">
        <v>5974</v>
      </c>
      <c r="T423" s="16"/>
      <c r="U423" s="16">
        <v>0</v>
      </c>
      <c r="V423" s="16"/>
      <c r="W423" s="16">
        <v>0</v>
      </c>
      <c r="X423" s="16"/>
      <c r="Y423" s="16">
        <v>45605</v>
      </c>
      <c r="Z423" s="16"/>
      <c r="AA423" s="16">
        <v>53433</v>
      </c>
      <c r="AB423" s="16"/>
      <c r="AC423" s="16">
        <v>0</v>
      </c>
      <c r="AD423" s="16"/>
      <c r="AE423" s="16">
        <f t="shared" si="12"/>
        <v>287095</v>
      </c>
    </row>
    <row r="424" spans="1:31" ht="12.75" customHeight="1">
      <c r="A424" s="1" t="s">
        <v>513</v>
      </c>
      <c r="C424" s="1" t="s">
        <v>160</v>
      </c>
      <c r="E424" s="16">
        <v>96515</v>
      </c>
      <c r="F424" s="16"/>
      <c r="G424" s="16">
        <v>351608</v>
      </c>
      <c r="H424" s="16"/>
      <c r="I424" s="16">
        <v>92480</v>
      </c>
      <c r="J424" s="16"/>
      <c r="K424" s="16">
        <v>5142</v>
      </c>
      <c r="L424" s="16"/>
      <c r="M424" s="16">
        <v>34796</v>
      </c>
      <c r="N424" s="16"/>
      <c r="O424" s="16">
        <v>4844</v>
      </c>
      <c r="P424" s="16"/>
      <c r="Q424" s="16">
        <v>4935</v>
      </c>
      <c r="R424" s="16"/>
      <c r="S424" s="16">
        <v>32124</v>
      </c>
      <c r="T424" s="16"/>
      <c r="U424" s="16">
        <v>0</v>
      </c>
      <c r="V424" s="16"/>
      <c r="W424" s="16">
        <v>0</v>
      </c>
      <c r="X424" s="16"/>
      <c r="Y424" s="16">
        <v>30000</v>
      </c>
      <c r="Z424" s="16"/>
      <c r="AA424" s="16">
        <v>0</v>
      </c>
      <c r="AB424" s="16"/>
      <c r="AC424" s="16">
        <v>0</v>
      </c>
      <c r="AD424" s="16"/>
      <c r="AE424" s="16">
        <f t="shared" si="12"/>
        <v>652444</v>
      </c>
    </row>
    <row r="425" spans="1:31" ht="12.75" customHeight="1">
      <c r="A425" s="1" t="s">
        <v>507</v>
      </c>
      <c r="C425" s="1" t="s">
        <v>414</v>
      </c>
      <c r="E425" s="16">
        <v>116188</v>
      </c>
      <c r="F425" s="16"/>
      <c r="G425" s="16">
        <v>0</v>
      </c>
      <c r="H425" s="16"/>
      <c r="I425" s="16">
        <v>178170</v>
      </c>
      <c r="J425" s="16"/>
      <c r="K425" s="16">
        <v>0</v>
      </c>
      <c r="L425" s="16"/>
      <c r="M425" s="16">
        <v>28339</v>
      </c>
      <c r="N425" s="16"/>
      <c r="O425" s="16">
        <v>32341</v>
      </c>
      <c r="P425" s="16"/>
      <c r="Q425" s="16">
        <v>445</v>
      </c>
      <c r="R425" s="16"/>
      <c r="S425" s="16">
        <v>1816</v>
      </c>
      <c r="T425" s="16"/>
      <c r="U425" s="16">
        <v>0</v>
      </c>
      <c r="V425" s="16"/>
      <c r="W425" s="16">
        <v>0</v>
      </c>
      <c r="X425" s="16"/>
      <c r="Y425" s="16">
        <v>83000</v>
      </c>
      <c r="Z425" s="16"/>
      <c r="AA425" s="16">
        <v>40000</v>
      </c>
      <c r="AB425" s="16"/>
      <c r="AC425" s="16">
        <v>6500</v>
      </c>
      <c r="AD425" s="16"/>
      <c r="AE425" s="16">
        <f t="shared" si="12"/>
        <v>486799</v>
      </c>
    </row>
    <row r="426" spans="1:31" ht="12.75" customHeight="1">
      <c r="A426" s="1" t="s">
        <v>324</v>
      </c>
      <c r="B426" s="1"/>
      <c r="C426" s="1" t="s">
        <v>78</v>
      </c>
      <c r="D426" s="16"/>
      <c r="E426" s="16">
        <v>5969</v>
      </c>
      <c r="F426" s="16"/>
      <c r="G426" s="16">
        <v>0</v>
      </c>
      <c r="H426" s="16"/>
      <c r="I426" s="16">
        <v>39367</v>
      </c>
      <c r="J426" s="16"/>
      <c r="K426" s="16">
        <v>0</v>
      </c>
      <c r="L426" s="16"/>
      <c r="M426" s="16">
        <v>0</v>
      </c>
      <c r="N426" s="16"/>
      <c r="O426" s="16">
        <v>994</v>
      </c>
      <c r="P426" s="16"/>
      <c r="Q426" s="16">
        <v>0</v>
      </c>
      <c r="R426" s="16"/>
      <c r="S426" s="16">
        <v>989668</v>
      </c>
      <c r="T426" s="16"/>
      <c r="U426" s="16">
        <v>0</v>
      </c>
      <c r="V426" s="16"/>
      <c r="W426" s="16">
        <v>0</v>
      </c>
      <c r="X426" s="16"/>
      <c r="Y426" s="16">
        <v>0</v>
      </c>
      <c r="Z426" s="16"/>
      <c r="AA426" s="16">
        <v>0</v>
      </c>
      <c r="AB426" s="16"/>
      <c r="AC426" s="16">
        <v>0</v>
      </c>
      <c r="AD426" s="16"/>
      <c r="AE426" s="16">
        <f t="shared" si="12"/>
        <v>1035998</v>
      </c>
    </row>
    <row r="427" spans="1:31" ht="12.75" customHeight="1">
      <c r="A427" s="1" t="s">
        <v>325</v>
      </c>
      <c r="B427" s="1"/>
      <c r="C427" s="1" t="s">
        <v>112</v>
      </c>
      <c r="D427" s="16"/>
      <c r="E427" s="16">
        <f>102139+136129</f>
        <v>238268</v>
      </c>
      <c r="F427" s="16"/>
      <c r="G427" s="16">
        <v>721156</v>
      </c>
      <c r="H427" s="16"/>
      <c r="I427" s="16">
        <f>155836+136541</f>
        <v>292377</v>
      </c>
      <c r="J427" s="16"/>
      <c r="K427" s="16">
        <v>0</v>
      </c>
      <c r="L427" s="16"/>
      <c r="M427" s="16">
        <f>124622+19421</f>
        <v>144043</v>
      </c>
      <c r="N427" s="16"/>
      <c r="O427" s="16">
        <f>386595+62505</f>
        <v>449100</v>
      </c>
      <c r="P427" s="16"/>
      <c r="Q427" s="16">
        <v>1404</v>
      </c>
      <c r="R427" s="16"/>
      <c r="S427" s="16">
        <f>26654+60432</f>
        <v>87086</v>
      </c>
      <c r="T427" s="16"/>
      <c r="U427" s="16">
        <v>0</v>
      </c>
      <c r="V427" s="16"/>
      <c r="W427" s="16">
        <v>2208</v>
      </c>
      <c r="X427" s="16"/>
      <c r="Y427" s="16">
        <v>0</v>
      </c>
      <c r="Z427" s="16"/>
      <c r="AA427" s="16">
        <v>0</v>
      </c>
      <c r="AB427" s="16"/>
      <c r="AC427" s="16">
        <v>0</v>
      </c>
      <c r="AD427" s="16"/>
      <c r="AE427" s="16">
        <f t="shared" si="12"/>
        <v>1935642</v>
      </c>
    </row>
    <row r="428" spans="1:31" ht="12.75" customHeight="1">
      <c r="A428" s="1" t="s">
        <v>326</v>
      </c>
      <c r="B428" s="1"/>
      <c r="C428" s="1" t="s">
        <v>96</v>
      </c>
      <c r="D428" s="16"/>
      <c r="E428" s="16">
        <v>117828</v>
      </c>
      <c r="F428" s="16"/>
      <c r="G428" s="16">
        <v>1115946</v>
      </c>
      <c r="H428" s="16"/>
      <c r="I428" s="16">
        <v>690173</v>
      </c>
      <c r="J428" s="16"/>
      <c r="K428" s="16">
        <v>0</v>
      </c>
      <c r="L428" s="16"/>
      <c r="M428" s="16">
        <f>61741-3428</f>
        <v>58313</v>
      </c>
      <c r="N428" s="16"/>
      <c r="O428" s="16">
        <v>31975</v>
      </c>
      <c r="P428" s="16"/>
      <c r="Q428" s="16">
        <v>25461</v>
      </c>
      <c r="R428" s="16"/>
      <c r="S428" s="16">
        <f>26605-1338</f>
        <v>25267</v>
      </c>
      <c r="T428" s="16"/>
      <c r="U428" s="16">
        <v>0</v>
      </c>
      <c r="V428" s="16"/>
      <c r="W428" s="16">
        <v>1914</v>
      </c>
      <c r="X428" s="16"/>
      <c r="Y428" s="16">
        <v>115500</v>
      </c>
      <c r="Z428" s="16"/>
      <c r="AA428" s="16">
        <v>0</v>
      </c>
      <c r="AB428" s="16"/>
      <c r="AC428" s="16">
        <v>0</v>
      </c>
      <c r="AD428" s="16"/>
      <c r="AE428" s="16">
        <f t="shared" si="12"/>
        <v>2182377</v>
      </c>
    </row>
    <row r="429" spans="1:31" ht="12.75" customHeight="1">
      <c r="A429" s="1" t="s">
        <v>495</v>
      </c>
      <c r="C429" s="1" t="s">
        <v>102</v>
      </c>
      <c r="E429" s="16">
        <v>17934</v>
      </c>
      <c r="F429" s="16"/>
      <c r="G429" s="16">
        <v>0</v>
      </c>
      <c r="H429" s="16"/>
      <c r="I429" s="16">
        <v>38586</v>
      </c>
      <c r="J429" s="16"/>
      <c r="K429" s="16">
        <v>0</v>
      </c>
      <c r="L429" s="16"/>
      <c r="M429" s="16">
        <v>0</v>
      </c>
      <c r="N429" s="16"/>
      <c r="O429" s="16">
        <v>75717</v>
      </c>
      <c r="P429" s="16"/>
      <c r="Q429" s="16">
        <v>1417</v>
      </c>
      <c r="R429" s="16"/>
      <c r="S429" s="16">
        <v>0</v>
      </c>
      <c r="T429" s="16"/>
      <c r="U429" s="16">
        <v>0</v>
      </c>
      <c r="V429" s="16"/>
      <c r="W429" s="16">
        <v>0</v>
      </c>
      <c r="X429" s="16"/>
      <c r="Y429" s="16">
        <v>0</v>
      </c>
      <c r="Z429" s="16"/>
      <c r="AA429" s="16">
        <v>0</v>
      </c>
      <c r="AB429" s="16"/>
      <c r="AC429" s="16">
        <v>43815</v>
      </c>
      <c r="AD429" s="16"/>
      <c r="AE429" s="16">
        <f t="shared" si="12"/>
        <v>177469</v>
      </c>
    </row>
    <row r="430" spans="1:31" ht="12.75" customHeight="1">
      <c r="A430" s="1" t="s">
        <v>327</v>
      </c>
      <c r="B430" s="1"/>
      <c r="C430" s="1" t="s">
        <v>102</v>
      </c>
      <c r="E430" s="16">
        <f>17934</f>
        <v>17934</v>
      </c>
      <c r="F430" s="16"/>
      <c r="G430" s="16">
        <v>0</v>
      </c>
      <c r="H430" s="16"/>
      <c r="I430" s="16">
        <v>38586</v>
      </c>
      <c r="J430" s="16"/>
      <c r="K430" s="16">
        <v>0</v>
      </c>
      <c r="L430" s="16"/>
      <c r="M430" s="16">
        <v>0</v>
      </c>
      <c r="N430" s="16"/>
      <c r="O430" s="16">
        <v>75717</v>
      </c>
      <c r="P430" s="16"/>
      <c r="Q430" s="16">
        <v>1417</v>
      </c>
      <c r="R430" s="16"/>
      <c r="S430" s="16">
        <v>0</v>
      </c>
      <c r="T430" s="16"/>
      <c r="U430" s="16">
        <v>0</v>
      </c>
      <c r="V430" s="16"/>
      <c r="W430" s="16">
        <v>0</v>
      </c>
      <c r="X430" s="16"/>
      <c r="Y430" s="16">
        <v>0</v>
      </c>
      <c r="Z430" s="16"/>
      <c r="AA430" s="16">
        <v>0</v>
      </c>
      <c r="AB430" s="16"/>
      <c r="AC430" s="16">
        <v>43815</v>
      </c>
      <c r="AD430" s="16"/>
      <c r="AE430" s="16">
        <f aca="true" t="shared" si="13" ref="AE430:AE461">SUM(E430:AC430)</f>
        <v>177469</v>
      </c>
    </row>
    <row r="431" spans="1:31" ht="12.75" customHeight="1">
      <c r="A431" s="1" t="s">
        <v>569</v>
      </c>
      <c r="C431" s="1" t="s">
        <v>73</v>
      </c>
      <c r="E431" s="16">
        <v>725192</v>
      </c>
      <c r="F431" s="16"/>
      <c r="G431" s="16">
        <v>897444</v>
      </c>
      <c r="H431" s="16"/>
      <c r="I431" s="16">
        <v>277200</v>
      </c>
      <c r="J431" s="16"/>
      <c r="K431" s="16">
        <v>0</v>
      </c>
      <c r="L431" s="16"/>
      <c r="M431" s="16">
        <v>24124</v>
      </c>
      <c r="N431" s="16"/>
      <c r="O431" s="16">
        <v>65620</v>
      </c>
      <c r="P431" s="16"/>
      <c r="Q431" s="16">
        <v>37980</v>
      </c>
      <c r="R431" s="16"/>
      <c r="S431" s="16">
        <v>39860</v>
      </c>
      <c r="T431" s="16"/>
      <c r="U431" s="16">
        <v>0</v>
      </c>
      <c r="V431" s="16"/>
      <c r="W431" s="16">
        <v>823</v>
      </c>
      <c r="X431" s="16"/>
      <c r="Y431" s="16">
        <v>326293</v>
      </c>
      <c r="Z431" s="16"/>
      <c r="AA431" s="16">
        <v>152000</v>
      </c>
      <c r="AB431" s="16"/>
      <c r="AC431" s="16">
        <v>0</v>
      </c>
      <c r="AD431" s="16"/>
      <c r="AE431" s="16">
        <f t="shared" si="13"/>
        <v>2546536</v>
      </c>
    </row>
    <row r="432" spans="1:31" ht="12.75" customHeight="1">
      <c r="A432" s="1" t="s">
        <v>524</v>
      </c>
      <c r="C432" s="1" t="s">
        <v>244</v>
      </c>
      <c r="E432" s="16">
        <v>16074</v>
      </c>
      <c r="F432" s="16"/>
      <c r="G432" s="16">
        <v>0</v>
      </c>
      <c r="H432" s="16"/>
      <c r="I432" s="16">
        <v>158719</v>
      </c>
      <c r="J432" s="16"/>
      <c r="K432" s="16">
        <v>8672</v>
      </c>
      <c r="L432" s="16"/>
      <c r="M432" s="16">
        <v>22500</v>
      </c>
      <c r="N432" s="16"/>
      <c r="O432" s="16">
        <v>15</v>
      </c>
      <c r="P432" s="16"/>
      <c r="Q432" s="16">
        <v>3524</v>
      </c>
      <c r="R432" s="16"/>
      <c r="S432" s="16">
        <v>651</v>
      </c>
      <c r="T432" s="16"/>
      <c r="U432" s="16">
        <v>0</v>
      </c>
      <c r="V432" s="16"/>
      <c r="W432" s="16">
        <v>0</v>
      </c>
      <c r="X432" s="16"/>
      <c r="Y432" s="16">
        <v>0</v>
      </c>
      <c r="Z432" s="16"/>
      <c r="AA432" s="16">
        <v>0</v>
      </c>
      <c r="AB432" s="16"/>
      <c r="AC432" s="16">
        <v>60</v>
      </c>
      <c r="AD432" s="16"/>
      <c r="AE432" s="16">
        <f t="shared" si="13"/>
        <v>210215</v>
      </c>
    </row>
    <row r="433" spans="1:31" ht="12.75" customHeight="1">
      <c r="A433" s="1" t="s">
        <v>328</v>
      </c>
      <c r="B433" s="1"/>
      <c r="C433" s="1" t="s">
        <v>94</v>
      </c>
      <c r="D433" s="16"/>
      <c r="E433" s="16">
        <f>673112+69570</f>
        <v>742682</v>
      </c>
      <c r="F433" s="16"/>
      <c r="G433" s="16">
        <v>0</v>
      </c>
      <c r="H433" s="16"/>
      <c r="I433" s="16">
        <f>107789+94911+111985</f>
        <v>314685</v>
      </c>
      <c r="J433" s="16"/>
      <c r="K433" s="16">
        <f>104374</f>
        <v>104374</v>
      </c>
      <c r="L433" s="16"/>
      <c r="M433" s="16">
        <v>39590</v>
      </c>
      <c r="N433" s="16"/>
      <c r="O433" s="16">
        <f>72867+56861</f>
        <v>129728</v>
      </c>
      <c r="P433" s="16"/>
      <c r="Q433" s="16">
        <f>30166+4</f>
        <v>30170</v>
      </c>
      <c r="R433" s="16"/>
      <c r="S433" s="16">
        <f>6534+818</f>
        <v>7352</v>
      </c>
      <c r="T433" s="16"/>
      <c r="U433" s="16">
        <v>289787</v>
      </c>
      <c r="V433" s="16"/>
      <c r="W433" s="16">
        <v>0</v>
      </c>
      <c r="X433" s="16"/>
      <c r="Y433" s="16">
        <v>120516</v>
      </c>
      <c r="Z433" s="16"/>
      <c r="AA433" s="16">
        <v>0</v>
      </c>
      <c r="AB433" s="16"/>
      <c r="AC433" s="16">
        <v>34361</v>
      </c>
      <c r="AD433" s="16"/>
      <c r="AE433" s="16">
        <f t="shared" si="13"/>
        <v>1813245</v>
      </c>
    </row>
    <row r="434" spans="1:31" ht="12.75" customHeight="1">
      <c r="A434" s="1" t="s">
        <v>570</v>
      </c>
      <c r="C434" s="1" t="s">
        <v>73</v>
      </c>
      <c r="E434" s="16">
        <v>213670</v>
      </c>
      <c r="F434" s="16"/>
      <c r="G434" s="16">
        <v>0</v>
      </c>
      <c r="H434" s="16"/>
      <c r="I434" s="16">
        <v>68926</v>
      </c>
      <c r="J434" s="16"/>
      <c r="K434" s="16">
        <v>10614</v>
      </c>
      <c r="L434" s="16"/>
      <c r="M434" s="16">
        <v>2647</v>
      </c>
      <c r="N434" s="16"/>
      <c r="O434" s="16">
        <v>12514</v>
      </c>
      <c r="P434" s="16"/>
      <c r="Q434" s="16">
        <v>4633</v>
      </c>
      <c r="R434" s="16"/>
      <c r="S434" s="16">
        <v>867</v>
      </c>
      <c r="T434" s="16"/>
      <c r="U434" s="16">
        <v>0</v>
      </c>
      <c r="V434" s="16"/>
      <c r="W434" s="16">
        <v>0</v>
      </c>
      <c r="X434" s="16"/>
      <c r="Y434" s="16">
        <v>23835</v>
      </c>
      <c r="Z434" s="16"/>
      <c r="AA434" s="16">
        <v>0</v>
      </c>
      <c r="AB434" s="16"/>
      <c r="AC434" s="16">
        <v>0</v>
      </c>
      <c r="AD434" s="16"/>
      <c r="AE434" s="16">
        <f t="shared" si="13"/>
        <v>337706</v>
      </c>
    </row>
    <row r="435" spans="1:31" ht="12.75" customHeight="1">
      <c r="A435" s="1" t="s">
        <v>594</v>
      </c>
      <c r="C435" s="1" t="s">
        <v>303</v>
      </c>
      <c r="E435" s="16">
        <v>23166</v>
      </c>
      <c r="F435" s="16"/>
      <c r="G435" s="16">
        <v>7300</v>
      </c>
      <c r="H435" s="16"/>
      <c r="I435" s="16">
        <v>66927</v>
      </c>
      <c r="J435" s="16"/>
      <c r="K435" s="16">
        <v>0</v>
      </c>
      <c r="L435" s="16"/>
      <c r="M435" s="16">
        <v>17739</v>
      </c>
      <c r="N435" s="16"/>
      <c r="O435" s="16">
        <v>2519</v>
      </c>
      <c r="P435" s="16"/>
      <c r="Q435" s="16">
        <v>1952</v>
      </c>
      <c r="R435" s="16"/>
      <c r="S435" s="16">
        <v>0</v>
      </c>
      <c r="T435" s="16"/>
      <c r="U435" s="16">
        <v>0</v>
      </c>
      <c r="V435" s="16"/>
      <c r="W435" s="16">
        <v>0</v>
      </c>
      <c r="X435" s="16"/>
      <c r="Y435" s="16">
        <v>0</v>
      </c>
      <c r="Z435" s="16"/>
      <c r="AA435" s="16">
        <v>0</v>
      </c>
      <c r="AB435" s="16"/>
      <c r="AC435" s="16">
        <v>3674</v>
      </c>
      <c r="AD435" s="16"/>
      <c r="AE435" s="16">
        <f t="shared" si="13"/>
        <v>123277</v>
      </c>
    </row>
    <row r="436" spans="1:31" ht="12.75" customHeight="1">
      <c r="A436" s="1" t="s">
        <v>488</v>
      </c>
      <c r="C436" s="1" t="s">
        <v>194</v>
      </c>
      <c r="E436" s="16">
        <v>31225</v>
      </c>
      <c r="F436" s="16"/>
      <c r="G436" s="16">
        <v>0</v>
      </c>
      <c r="H436" s="16"/>
      <c r="I436" s="16">
        <v>20263</v>
      </c>
      <c r="J436" s="16"/>
      <c r="K436" s="16">
        <v>0</v>
      </c>
      <c r="L436" s="16"/>
      <c r="M436" s="16">
        <v>0</v>
      </c>
      <c r="N436" s="16"/>
      <c r="O436" s="16">
        <v>105051</v>
      </c>
      <c r="P436" s="16"/>
      <c r="Q436" s="16">
        <v>1214</v>
      </c>
      <c r="R436" s="16"/>
      <c r="S436" s="16">
        <v>2312</v>
      </c>
      <c r="T436" s="16"/>
      <c r="U436" s="16">
        <v>0</v>
      </c>
      <c r="V436" s="16"/>
      <c r="W436" s="16">
        <v>0</v>
      </c>
      <c r="X436" s="16"/>
      <c r="Y436" s="16">
        <v>0</v>
      </c>
      <c r="Z436" s="16"/>
      <c r="AA436" s="16">
        <v>8657</v>
      </c>
      <c r="AB436" s="16"/>
      <c r="AC436" s="16">
        <v>0</v>
      </c>
      <c r="AD436" s="16"/>
      <c r="AE436" s="16">
        <f t="shared" si="13"/>
        <v>168722</v>
      </c>
    </row>
    <row r="437" spans="1:31" ht="12.75" customHeight="1">
      <c r="A437" s="1" t="s">
        <v>457</v>
      </c>
      <c r="B437" s="1"/>
      <c r="C437" s="1" t="s">
        <v>76</v>
      </c>
      <c r="E437" s="16">
        <v>349463</v>
      </c>
      <c r="F437" s="16"/>
      <c r="G437" s="16">
        <v>490540</v>
      </c>
      <c r="H437" s="16"/>
      <c r="I437" s="16">
        <v>204836</v>
      </c>
      <c r="J437" s="16"/>
      <c r="K437" s="16">
        <v>18186</v>
      </c>
      <c r="L437" s="16"/>
      <c r="M437" s="16">
        <v>38514</v>
      </c>
      <c r="N437" s="16"/>
      <c r="O437" s="16">
        <v>82745</v>
      </c>
      <c r="P437" s="16"/>
      <c r="Q437" s="16">
        <v>5033</v>
      </c>
      <c r="R437" s="16"/>
      <c r="S437" s="16">
        <v>10354</v>
      </c>
      <c r="T437" s="16"/>
      <c r="U437" s="16">
        <v>118980</v>
      </c>
      <c r="V437" s="16"/>
      <c r="W437" s="16">
        <v>2525</v>
      </c>
      <c r="X437" s="16"/>
      <c r="Y437" s="16">
        <v>72033</v>
      </c>
      <c r="Z437" s="16"/>
      <c r="AA437" s="16">
        <v>0</v>
      </c>
      <c r="AB437" s="16"/>
      <c r="AC437" s="16">
        <v>0</v>
      </c>
      <c r="AD437" s="16"/>
      <c r="AE437" s="16">
        <f t="shared" si="13"/>
        <v>1393209</v>
      </c>
    </row>
    <row r="438" spans="1:31" ht="12.75" customHeight="1">
      <c r="A438" s="1" t="s">
        <v>329</v>
      </c>
      <c r="B438" s="1"/>
      <c r="C438" s="1" t="s">
        <v>312</v>
      </c>
      <c r="E438" s="16">
        <v>19639</v>
      </c>
      <c r="F438" s="16"/>
      <c r="G438" s="16">
        <v>186295</v>
      </c>
      <c r="H438" s="16"/>
      <c r="I438" s="16">
        <v>136746</v>
      </c>
      <c r="J438" s="16"/>
      <c r="K438" s="16">
        <v>274</v>
      </c>
      <c r="L438" s="16"/>
      <c r="M438" s="16">
        <v>0</v>
      </c>
      <c r="N438" s="16"/>
      <c r="O438" s="16">
        <v>18808</v>
      </c>
      <c r="P438" s="16"/>
      <c r="Q438" s="16">
        <v>10410</v>
      </c>
      <c r="R438" s="16"/>
      <c r="S438" s="16">
        <v>93800</v>
      </c>
      <c r="T438" s="16"/>
      <c r="U438" s="16">
        <v>0</v>
      </c>
      <c r="V438" s="16"/>
      <c r="W438" s="16">
        <v>0</v>
      </c>
      <c r="X438" s="16"/>
      <c r="Y438" s="16">
        <v>0</v>
      </c>
      <c r="Z438" s="16"/>
      <c r="AA438" s="16">
        <v>0</v>
      </c>
      <c r="AB438" s="16"/>
      <c r="AC438" s="16">
        <v>6492</v>
      </c>
      <c r="AD438" s="16"/>
      <c r="AE438" s="16">
        <f t="shared" si="13"/>
        <v>472464</v>
      </c>
    </row>
    <row r="439" spans="1:31" ht="12.75" customHeight="1">
      <c r="A439" s="1" t="s">
        <v>607</v>
      </c>
      <c r="C439" s="1" t="s">
        <v>197</v>
      </c>
      <c r="E439" s="16">
        <v>604459</v>
      </c>
      <c r="F439" s="16"/>
      <c r="G439" s="16">
        <v>1440293</v>
      </c>
      <c r="H439" s="16"/>
      <c r="I439" s="16">
        <v>686521</v>
      </c>
      <c r="J439" s="16"/>
      <c r="K439" s="16">
        <v>0</v>
      </c>
      <c r="L439" s="16"/>
      <c r="M439" s="16">
        <v>2192</v>
      </c>
      <c r="N439" s="16"/>
      <c r="O439" s="16">
        <v>8769</v>
      </c>
      <c r="P439" s="16"/>
      <c r="Q439" s="16">
        <v>346931</v>
      </c>
      <c r="R439" s="16"/>
      <c r="S439" s="16">
        <v>10640</v>
      </c>
      <c r="T439" s="16"/>
      <c r="U439" s="16">
        <v>0</v>
      </c>
      <c r="V439" s="16"/>
      <c r="W439" s="16">
        <v>0</v>
      </c>
      <c r="X439" s="16"/>
      <c r="Y439" s="16">
        <v>0</v>
      </c>
      <c r="Z439" s="16"/>
      <c r="AA439" s="16">
        <v>0</v>
      </c>
      <c r="AB439" s="16"/>
      <c r="AC439" s="16">
        <v>0</v>
      </c>
      <c r="AD439" s="16"/>
      <c r="AE439" s="16">
        <f t="shared" si="13"/>
        <v>3099805</v>
      </c>
    </row>
    <row r="440" spans="1:31" ht="12.75" customHeight="1">
      <c r="A440" s="1" t="s">
        <v>518</v>
      </c>
      <c r="C440" s="1" t="s">
        <v>112</v>
      </c>
      <c r="E440" s="16">
        <v>244626</v>
      </c>
      <c r="F440" s="16"/>
      <c r="G440" s="16">
        <v>1512950</v>
      </c>
      <c r="H440" s="16"/>
      <c r="I440" s="16">
        <v>143265</v>
      </c>
      <c r="J440" s="16"/>
      <c r="K440" s="16">
        <v>295</v>
      </c>
      <c r="L440" s="16"/>
      <c r="M440" s="16">
        <v>490815</v>
      </c>
      <c r="N440" s="16"/>
      <c r="O440" s="16">
        <v>199624</v>
      </c>
      <c r="P440" s="16"/>
      <c r="Q440" s="16">
        <v>450</v>
      </c>
      <c r="R440" s="16"/>
      <c r="S440" s="16">
        <v>1000</v>
      </c>
      <c r="T440" s="16"/>
      <c r="U440" s="16">
        <v>0</v>
      </c>
      <c r="V440" s="16"/>
      <c r="W440" s="16">
        <v>0</v>
      </c>
      <c r="X440" s="16"/>
      <c r="Y440" s="16">
        <v>56630</v>
      </c>
      <c r="Z440" s="16"/>
      <c r="AA440" s="16">
        <v>0</v>
      </c>
      <c r="AB440" s="16"/>
      <c r="AC440" s="16">
        <v>221939</v>
      </c>
      <c r="AD440" s="16"/>
      <c r="AE440" s="16">
        <f t="shared" si="13"/>
        <v>2871594</v>
      </c>
    </row>
    <row r="441" spans="1:31" ht="12.75" customHeight="1">
      <c r="A441" s="1" t="s">
        <v>330</v>
      </c>
      <c r="B441" s="1"/>
      <c r="C441" s="1" t="s">
        <v>160</v>
      </c>
      <c r="D441" s="16"/>
      <c r="E441" s="16">
        <v>9329</v>
      </c>
      <c r="F441" s="16"/>
      <c r="G441" s="16">
        <v>0</v>
      </c>
      <c r="H441" s="16"/>
      <c r="I441" s="16">
        <v>13770</v>
      </c>
      <c r="J441" s="16"/>
      <c r="K441" s="16">
        <v>8905</v>
      </c>
      <c r="L441" s="16"/>
      <c r="M441" s="16">
        <v>0</v>
      </c>
      <c r="N441" s="16"/>
      <c r="O441" s="16">
        <v>5</v>
      </c>
      <c r="P441" s="16"/>
      <c r="Q441" s="16">
        <v>369</v>
      </c>
      <c r="R441" s="16"/>
      <c r="S441" s="16">
        <f>51+303</f>
        <v>354</v>
      </c>
      <c r="T441" s="16"/>
      <c r="U441" s="16">
        <v>0</v>
      </c>
      <c r="V441" s="16"/>
      <c r="W441" s="16">
        <v>0</v>
      </c>
      <c r="X441" s="16"/>
      <c r="Y441" s="16">
        <v>0</v>
      </c>
      <c r="Z441" s="16"/>
      <c r="AA441" s="16">
        <v>0</v>
      </c>
      <c r="AB441" s="16"/>
      <c r="AC441" s="16">
        <v>0</v>
      </c>
      <c r="AD441" s="16"/>
      <c r="AE441" s="16">
        <f t="shared" si="13"/>
        <v>32732</v>
      </c>
    </row>
    <row r="442" spans="1:31" ht="12.75" customHeight="1">
      <c r="A442" s="1" t="s">
        <v>331</v>
      </c>
      <c r="B442" s="1"/>
      <c r="C442" s="1" t="s">
        <v>78</v>
      </c>
      <c r="D442" s="16"/>
      <c r="E442" s="16">
        <v>9041</v>
      </c>
      <c r="F442" s="16"/>
      <c r="G442" s="16">
        <v>0</v>
      </c>
      <c r="H442" s="16"/>
      <c r="I442" s="16">
        <f>36485+187695</f>
        <v>224180</v>
      </c>
      <c r="J442" s="16"/>
      <c r="K442" s="16">
        <v>4444</v>
      </c>
      <c r="L442" s="16"/>
      <c r="M442" s="16">
        <v>3687</v>
      </c>
      <c r="N442" s="16"/>
      <c r="O442" s="16">
        <v>0</v>
      </c>
      <c r="P442" s="16"/>
      <c r="Q442" s="16">
        <v>1061</v>
      </c>
      <c r="R442" s="16"/>
      <c r="S442" s="16">
        <f>6400+5000</f>
        <v>11400</v>
      </c>
      <c r="T442" s="16"/>
      <c r="U442" s="16">
        <v>0</v>
      </c>
      <c r="V442" s="16"/>
      <c r="W442" s="16">
        <v>0</v>
      </c>
      <c r="X442" s="16"/>
      <c r="Y442" s="16">
        <v>16728</v>
      </c>
      <c r="Z442" s="16"/>
      <c r="AA442" s="16">
        <v>0</v>
      </c>
      <c r="AB442" s="16"/>
      <c r="AC442" s="16">
        <v>0</v>
      </c>
      <c r="AD442" s="16"/>
      <c r="AE442" s="16">
        <f t="shared" si="13"/>
        <v>270541</v>
      </c>
    </row>
    <row r="443" spans="1:31" ht="12.75" customHeight="1">
      <c r="A443" s="1" t="s">
        <v>332</v>
      </c>
      <c r="B443" s="1"/>
      <c r="C443" s="1" t="s">
        <v>129</v>
      </c>
      <c r="D443" s="16"/>
      <c r="E443" s="16">
        <f>415423-17704</f>
        <v>397719</v>
      </c>
      <c r="F443" s="16"/>
      <c r="G443" s="16">
        <v>773734</v>
      </c>
      <c r="H443" s="16"/>
      <c r="I443" s="16">
        <f>458261-2306</f>
        <v>455955</v>
      </c>
      <c r="J443" s="16"/>
      <c r="K443" s="16">
        <v>0</v>
      </c>
      <c r="L443" s="16"/>
      <c r="M443" s="16">
        <v>40305</v>
      </c>
      <c r="N443" s="16"/>
      <c r="O443" s="16">
        <v>258890</v>
      </c>
      <c r="P443" s="16"/>
      <c r="Q443" s="16">
        <v>4216</v>
      </c>
      <c r="R443" s="16"/>
      <c r="S443" s="16">
        <v>99722</v>
      </c>
      <c r="T443" s="16"/>
      <c r="U443" s="16">
        <v>100000</v>
      </c>
      <c r="V443" s="16"/>
      <c r="W443" s="16">
        <v>0</v>
      </c>
      <c r="X443" s="16"/>
      <c r="Y443" s="16">
        <v>0</v>
      </c>
      <c r="Z443" s="16"/>
      <c r="AA443" s="16">
        <v>0</v>
      </c>
      <c r="AB443" s="16"/>
      <c r="AC443" s="16">
        <v>0</v>
      </c>
      <c r="AD443" s="16"/>
      <c r="AE443" s="16">
        <f t="shared" si="13"/>
        <v>2130541</v>
      </c>
    </row>
    <row r="444" spans="1:31" ht="12.75" customHeight="1">
      <c r="A444" s="1" t="s">
        <v>670</v>
      </c>
      <c r="C444" s="1" t="s">
        <v>67</v>
      </c>
      <c r="E444" s="16">
        <v>11465</v>
      </c>
      <c r="F444" s="16"/>
      <c r="G444" s="16">
        <v>0</v>
      </c>
      <c r="H444" s="16"/>
      <c r="I444" s="16">
        <v>13387</v>
      </c>
      <c r="J444" s="16"/>
      <c r="K444" s="16">
        <v>0</v>
      </c>
      <c r="L444" s="16"/>
      <c r="M444" s="16">
        <v>50</v>
      </c>
      <c r="N444" s="16"/>
      <c r="O444" s="16">
        <v>0</v>
      </c>
      <c r="P444" s="16"/>
      <c r="Q444" s="16">
        <v>479</v>
      </c>
      <c r="R444" s="16"/>
      <c r="S444" s="16">
        <v>225</v>
      </c>
      <c r="T444" s="16"/>
      <c r="U444" s="16">
        <v>0</v>
      </c>
      <c r="V444" s="16"/>
      <c r="W444" s="16">
        <v>100</v>
      </c>
      <c r="X444" s="16"/>
      <c r="Y444" s="16">
        <v>0</v>
      </c>
      <c r="Z444" s="16"/>
      <c r="AA444" s="16">
        <v>0</v>
      </c>
      <c r="AB444" s="16"/>
      <c r="AC444" s="16">
        <v>0</v>
      </c>
      <c r="AD444" s="16"/>
      <c r="AE444" s="16">
        <f t="shared" si="13"/>
        <v>25706</v>
      </c>
    </row>
    <row r="445" spans="1:31" ht="12.75" customHeight="1">
      <c r="A445" s="1" t="s">
        <v>333</v>
      </c>
      <c r="B445" s="1"/>
      <c r="C445" s="1" t="s">
        <v>215</v>
      </c>
      <c r="D445" s="16"/>
      <c r="E445" s="16">
        <f>127814+103186</f>
        <v>231000</v>
      </c>
      <c r="F445" s="16"/>
      <c r="G445" s="16">
        <v>527169</v>
      </c>
      <c r="H445" s="16"/>
      <c r="I445" s="16">
        <f>134920+155259+77298</f>
        <v>367477</v>
      </c>
      <c r="J445" s="16"/>
      <c r="K445" s="16">
        <f>389+4069</f>
        <v>4458</v>
      </c>
      <c r="L445" s="16"/>
      <c r="M445" s="16">
        <f>79613</f>
        <v>79613</v>
      </c>
      <c r="N445" s="16"/>
      <c r="O445" s="16">
        <f>4776+2031</f>
        <v>6807</v>
      </c>
      <c r="P445" s="16"/>
      <c r="Q445" s="16">
        <f>48844+447</f>
        <v>49291</v>
      </c>
      <c r="R445" s="16"/>
      <c r="S445" s="16">
        <f>106767+2097+74305</f>
        <v>183169</v>
      </c>
      <c r="T445" s="16"/>
      <c r="U445" s="16">
        <v>0</v>
      </c>
      <c r="V445" s="16"/>
      <c r="W445" s="16">
        <v>0</v>
      </c>
      <c r="X445" s="16"/>
      <c r="Y445" s="16">
        <v>63433</v>
      </c>
      <c r="Z445" s="16"/>
      <c r="AA445" s="16">
        <v>0</v>
      </c>
      <c r="AB445" s="16"/>
      <c r="AC445" s="16">
        <v>0</v>
      </c>
      <c r="AD445" s="16"/>
      <c r="AE445" s="16">
        <f t="shared" si="13"/>
        <v>1512417</v>
      </c>
    </row>
    <row r="446" spans="1:31" ht="12.75" customHeight="1">
      <c r="A446" s="1" t="s">
        <v>595</v>
      </c>
      <c r="C446" s="1" t="s">
        <v>596</v>
      </c>
      <c r="E446" s="16">
        <v>243391</v>
      </c>
      <c r="F446" s="16"/>
      <c r="G446" s="16">
        <v>0</v>
      </c>
      <c r="H446" s="16"/>
      <c r="I446" s="16">
        <v>125394</v>
      </c>
      <c r="J446" s="16"/>
      <c r="K446" s="16">
        <v>0</v>
      </c>
      <c r="L446" s="16"/>
      <c r="M446" s="16">
        <v>57057</v>
      </c>
      <c r="N446" s="16"/>
      <c r="O446" s="16">
        <v>20296</v>
      </c>
      <c r="P446" s="16"/>
      <c r="Q446" s="16">
        <v>3756</v>
      </c>
      <c r="R446" s="16"/>
      <c r="S446" s="16">
        <v>43706</v>
      </c>
      <c r="T446" s="16"/>
      <c r="U446" s="16">
        <v>0</v>
      </c>
      <c r="V446" s="16"/>
      <c r="W446" s="16">
        <v>0</v>
      </c>
      <c r="X446" s="16"/>
      <c r="Y446" s="16">
        <v>0</v>
      </c>
      <c r="Z446" s="16"/>
      <c r="AA446" s="16">
        <v>33979</v>
      </c>
      <c r="AB446" s="16"/>
      <c r="AC446" s="16">
        <v>0</v>
      </c>
      <c r="AD446" s="16"/>
      <c r="AE446" s="16">
        <f t="shared" si="13"/>
        <v>527579</v>
      </c>
    </row>
    <row r="447" spans="1:31" ht="12.75" customHeight="1">
      <c r="A447" s="1" t="s">
        <v>334</v>
      </c>
      <c r="B447" s="1"/>
      <c r="C447" s="1" t="s">
        <v>112</v>
      </c>
      <c r="D447" s="16"/>
      <c r="E447" s="16">
        <v>3775195</v>
      </c>
      <c r="F447" s="16"/>
      <c r="G447" s="16">
        <v>0</v>
      </c>
      <c r="H447" s="16"/>
      <c r="I447" s="16">
        <v>888052</v>
      </c>
      <c r="J447" s="16"/>
      <c r="K447" s="16">
        <v>900242</v>
      </c>
      <c r="L447" s="16"/>
      <c r="M447" s="16">
        <v>437948</v>
      </c>
      <c r="N447" s="16"/>
      <c r="O447" s="16">
        <v>293771</v>
      </c>
      <c r="P447" s="16"/>
      <c r="Q447" s="16">
        <v>0</v>
      </c>
      <c r="R447" s="16"/>
      <c r="S447" s="16">
        <v>2130247</v>
      </c>
      <c r="T447" s="16"/>
      <c r="U447" s="16">
        <v>1847374</v>
      </c>
      <c r="V447" s="16"/>
      <c r="W447" s="16">
        <v>16587</v>
      </c>
      <c r="X447" s="16"/>
      <c r="Y447" s="16">
        <v>1003911</v>
      </c>
      <c r="Z447" s="16"/>
      <c r="AA447" s="16">
        <v>0</v>
      </c>
      <c r="AB447" s="16"/>
      <c r="AC447" s="16">
        <v>0</v>
      </c>
      <c r="AD447" s="16"/>
      <c r="AE447" s="16">
        <f t="shared" si="13"/>
        <v>11293327</v>
      </c>
    </row>
    <row r="448" spans="1:31" ht="12.75" customHeight="1">
      <c r="A448" s="1" t="s">
        <v>334</v>
      </c>
      <c r="B448" s="1"/>
      <c r="C448" s="1" t="s">
        <v>82</v>
      </c>
      <c r="D448" s="16"/>
      <c r="E448" s="16">
        <v>69452</v>
      </c>
      <c r="F448" s="16"/>
      <c r="G448" s="16">
        <v>123754</v>
      </c>
      <c r="H448" s="16"/>
      <c r="I448" s="16">
        <v>109774</v>
      </c>
      <c r="J448" s="16"/>
      <c r="K448" s="16">
        <v>0</v>
      </c>
      <c r="L448" s="16"/>
      <c r="M448" s="16">
        <v>128214</v>
      </c>
      <c r="N448" s="16"/>
      <c r="O448" s="16">
        <v>4897</v>
      </c>
      <c r="P448" s="16"/>
      <c r="Q448" s="16">
        <v>314</v>
      </c>
      <c r="R448" s="16"/>
      <c r="S448" s="16">
        <v>42560</v>
      </c>
      <c r="T448" s="16"/>
      <c r="U448" s="16">
        <v>0</v>
      </c>
      <c r="V448" s="16"/>
      <c r="W448" s="16">
        <v>0</v>
      </c>
      <c r="X448" s="16"/>
      <c r="Y448" s="16">
        <v>28500</v>
      </c>
      <c r="Z448" s="16"/>
      <c r="AA448" s="16">
        <v>0</v>
      </c>
      <c r="AB448" s="16"/>
      <c r="AC448" s="16">
        <v>0</v>
      </c>
      <c r="AD448" s="16"/>
      <c r="AE448" s="16">
        <f t="shared" si="13"/>
        <v>507465</v>
      </c>
    </row>
    <row r="449" spans="1:31" ht="12.75" customHeight="1">
      <c r="A449" s="1" t="s">
        <v>546</v>
      </c>
      <c r="C449" s="1" t="s">
        <v>149</v>
      </c>
      <c r="E449" s="16">
        <v>351926</v>
      </c>
      <c r="F449" s="16"/>
      <c r="G449" s="16">
        <v>2983302</v>
      </c>
      <c r="H449" s="16"/>
      <c r="I449" s="16">
        <v>878409</v>
      </c>
      <c r="J449" s="16"/>
      <c r="K449" s="16">
        <v>0</v>
      </c>
      <c r="L449" s="16"/>
      <c r="M449" s="16">
        <v>10049</v>
      </c>
      <c r="N449" s="16"/>
      <c r="O449" s="16">
        <v>369073</v>
      </c>
      <c r="P449" s="16"/>
      <c r="Q449" s="16">
        <v>104775</v>
      </c>
      <c r="R449" s="16"/>
      <c r="S449" s="16">
        <v>201082</v>
      </c>
      <c r="T449" s="16"/>
      <c r="U449" s="16">
        <v>3650000</v>
      </c>
      <c r="V449" s="16"/>
      <c r="W449" s="16">
        <v>0</v>
      </c>
      <c r="X449" s="16"/>
      <c r="Y449" s="16">
        <v>0</v>
      </c>
      <c r="Z449" s="16"/>
      <c r="AA449" s="16">
        <v>0</v>
      </c>
      <c r="AB449" s="16"/>
      <c r="AC449" s="16">
        <v>0</v>
      </c>
      <c r="AD449" s="16"/>
      <c r="AE449" s="16">
        <f t="shared" si="13"/>
        <v>8548616</v>
      </c>
    </row>
    <row r="450" spans="1:31" ht="12.75" customHeight="1">
      <c r="A450" s="1" t="s">
        <v>540</v>
      </c>
      <c r="C450" s="1" t="s">
        <v>200</v>
      </c>
      <c r="E450" s="16">
        <v>38257</v>
      </c>
      <c r="F450" s="16"/>
      <c r="G450" s="16">
        <v>37443</v>
      </c>
      <c r="H450" s="16"/>
      <c r="I450" s="16">
        <v>11100</v>
      </c>
      <c r="J450" s="16"/>
      <c r="K450" s="16">
        <v>0</v>
      </c>
      <c r="L450" s="16"/>
      <c r="M450" s="16">
        <v>0</v>
      </c>
      <c r="N450" s="16"/>
      <c r="O450" s="16">
        <v>852</v>
      </c>
      <c r="P450" s="16"/>
      <c r="Q450" s="16">
        <v>572</v>
      </c>
      <c r="R450" s="16"/>
      <c r="S450" s="16">
        <v>9295</v>
      </c>
      <c r="T450" s="16"/>
      <c r="U450" s="16">
        <v>0</v>
      </c>
      <c r="V450" s="16"/>
      <c r="W450" s="16">
        <v>3000</v>
      </c>
      <c r="X450" s="16"/>
      <c r="Y450" s="16">
        <v>233</v>
      </c>
      <c r="Z450" s="16"/>
      <c r="AA450" s="16">
        <v>0</v>
      </c>
      <c r="AB450" s="16"/>
      <c r="AC450" s="16">
        <v>0</v>
      </c>
      <c r="AD450" s="16"/>
      <c r="AE450" s="16">
        <f t="shared" si="13"/>
        <v>100752</v>
      </c>
    </row>
    <row r="451" spans="1:31" ht="12.75" customHeight="1">
      <c r="A451" s="1" t="s">
        <v>335</v>
      </c>
      <c r="B451" s="1"/>
      <c r="C451" s="1" t="s">
        <v>192</v>
      </c>
      <c r="D451" s="16"/>
      <c r="E451" s="16">
        <f>33728+19453</f>
        <v>53181</v>
      </c>
      <c r="F451" s="16"/>
      <c r="G451" s="16">
        <v>0</v>
      </c>
      <c r="H451" s="16"/>
      <c r="I451" s="16">
        <f>42373+54923+7386</f>
        <v>104682</v>
      </c>
      <c r="J451" s="16"/>
      <c r="K451" s="16">
        <v>0</v>
      </c>
      <c r="L451" s="16"/>
      <c r="M451" s="16">
        <f>35798+17757</f>
        <v>53555</v>
      </c>
      <c r="N451" s="16"/>
      <c r="O451" s="16">
        <v>200</v>
      </c>
      <c r="P451" s="16"/>
      <c r="Q451" s="16">
        <f>2542+175</f>
        <v>2717</v>
      </c>
      <c r="R451" s="16"/>
      <c r="S451" s="16">
        <f>11014+1051</f>
        <v>12065</v>
      </c>
      <c r="T451" s="16"/>
      <c r="U451" s="16">
        <v>0</v>
      </c>
      <c r="V451" s="16"/>
      <c r="W451" s="16">
        <v>8658</v>
      </c>
      <c r="X451" s="16"/>
      <c r="Y451" s="16">
        <v>94313</v>
      </c>
      <c r="Z451" s="16"/>
      <c r="AA451" s="16">
        <v>0</v>
      </c>
      <c r="AB451" s="16"/>
      <c r="AC451" s="16">
        <v>0</v>
      </c>
      <c r="AD451" s="16"/>
      <c r="AE451" s="16">
        <f t="shared" si="13"/>
        <v>329371</v>
      </c>
    </row>
    <row r="452" spans="1:31" ht="12.75" customHeight="1">
      <c r="A452" s="1" t="s">
        <v>336</v>
      </c>
      <c r="B452" s="1"/>
      <c r="C452" s="1" t="s">
        <v>112</v>
      </c>
      <c r="D452" s="16"/>
      <c r="E452" s="16">
        <f>822663+641205</f>
        <v>1463868</v>
      </c>
      <c r="F452" s="16"/>
      <c r="G452" s="16">
        <v>2546213</v>
      </c>
      <c r="H452" s="16"/>
      <c r="I452" s="16">
        <v>653151</v>
      </c>
      <c r="J452" s="16"/>
      <c r="K452" s="16">
        <v>921601</v>
      </c>
      <c r="L452" s="16"/>
      <c r="M452" s="16">
        <v>190060</v>
      </c>
      <c r="N452" s="16"/>
      <c r="O452" s="16">
        <v>355824</v>
      </c>
      <c r="P452" s="16"/>
      <c r="Q452" s="16">
        <v>45068</v>
      </c>
      <c r="R452" s="16"/>
      <c r="S452" s="16">
        <v>12131</v>
      </c>
      <c r="T452" s="16"/>
      <c r="U452" s="16">
        <v>2920227</v>
      </c>
      <c r="V452" s="16"/>
      <c r="W452" s="16">
        <v>0</v>
      </c>
      <c r="X452" s="16"/>
      <c r="Y452" s="16">
        <v>2940019</v>
      </c>
      <c r="Z452" s="16"/>
      <c r="AA452" s="16">
        <v>144847</v>
      </c>
      <c r="AB452" s="16"/>
      <c r="AC452" s="16">
        <v>0</v>
      </c>
      <c r="AD452" s="16"/>
      <c r="AE452" s="16">
        <f t="shared" si="13"/>
        <v>12193009</v>
      </c>
    </row>
    <row r="453" spans="1:31" ht="12.75" customHeight="1">
      <c r="A453" s="1" t="s">
        <v>735</v>
      </c>
      <c r="C453" s="1" t="s">
        <v>276</v>
      </c>
      <c r="E453" s="16">
        <v>22978</v>
      </c>
      <c r="F453" s="16"/>
      <c r="G453" s="16">
        <v>0</v>
      </c>
      <c r="H453" s="16"/>
      <c r="I453" s="16">
        <v>17917</v>
      </c>
      <c r="J453" s="16"/>
      <c r="K453" s="16">
        <v>4134</v>
      </c>
      <c r="L453" s="16"/>
      <c r="M453" s="16">
        <v>0</v>
      </c>
      <c r="N453" s="16"/>
      <c r="O453" s="16">
        <v>0</v>
      </c>
      <c r="P453" s="16"/>
      <c r="Q453" s="16">
        <v>157</v>
      </c>
      <c r="R453" s="16"/>
      <c r="S453" s="16">
        <v>2888</v>
      </c>
      <c r="T453" s="16"/>
      <c r="U453" s="16">
        <v>0</v>
      </c>
      <c r="V453" s="16"/>
      <c r="W453" s="16">
        <v>0</v>
      </c>
      <c r="X453" s="16"/>
      <c r="Y453" s="16">
        <v>0</v>
      </c>
      <c r="Z453" s="16"/>
      <c r="AA453" s="16">
        <v>0</v>
      </c>
      <c r="AB453" s="16"/>
      <c r="AC453" s="16">
        <v>0</v>
      </c>
      <c r="AD453" s="16"/>
      <c r="AE453" s="16">
        <f t="shared" si="13"/>
        <v>48074</v>
      </c>
    </row>
    <row r="454" spans="1:31" ht="12.75" customHeight="1">
      <c r="A454" s="1" t="s">
        <v>687</v>
      </c>
      <c r="C454" s="1" t="s">
        <v>184</v>
      </c>
      <c r="E454" s="16">
        <v>7316</v>
      </c>
      <c r="F454" s="16"/>
      <c r="G454" s="16">
        <v>0</v>
      </c>
      <c r="H454" s="16"/>
      <c r="I454" s="16">
        <v>74910</v>
      </c>
      <c r="J454" s="16"/>
      <c r="K454" s="16">
        <v>0</v>
      </c>
      <c r="L454" s="16"/>
      <c r="M454" s="16">
        <v>0</v>
      </c>
      <c r="N454" s="16"/>
      <c r="O454" s="16">
        <v>352</v>
      </c>
      <c r="P454" s="16"/>
      <c r="Q454" s="16">
        <v>1959</v>
      </c>
      <c r="R454" s="16"/>
      <c r="S454" s="16">
        <v>13183</v>
      </c>
      <c r="T454" s="16"/>
      <c r="U454" s="16">
        <v>0</v>
      </c>
      <c r="V454" s="16"/>
      <c r="W454" s="16">
        <v>0</v>
      </c>
      <c r="X454" s="16"/>
      <c r="Y454" s="16">
        <v>0</v>
      </c>
      <c r="Z454" s="16"/>
      <c r="AA454" s="16">
        <v>0</v>
      </c>
      <c r="AB454" s="16"/>
      <c r="AC454" s="16">
        <v>0</v>
      </c>
      <c r="AD454" s="16"/>
      <c r="AE454" s="16">
        <f t="shared" si="13"/>
        <v>97720</v>
      </c>
    </row>
    <row r="455" spans="1:31" ht="12.75" customHeight="1">
      <c r="A455" s="1" t="s">
        <v>440</v>
      </c>
      <c r="B455" s="1"/>
      <c r="C455" s="30" t="s">
        <v>76</v>
      </c>
      <c r="E455" s="16">
        <v>216292</v>
      </c>
      <c r="F455" s="16"/>
      <c r="G455" s="16">
        <v>0</v>
      </c>
      <c r="H455" s="16"/>
      <c r="I455" s="16">
        <v>907290</v>
      </c>
      <c r="J455" s="16"/>
      <c r="K455" s="16">
        <v>3158</v>
      </c>
      <c r="L455" s="16"/>
      <c r="M455" s="16">
        <v>52653</v>
      </c>
      <c r="N455" s="16"/>
      <c r="O455" s="16">
        <v>4327</v>
      </c>
      <c r="P455" s="16"/>
      <c r="Q455" s="16">
        <v>6392</v>
      </c>
      <c r="R455" s="16"/>
      <c r="S455" s="16">
        <v>32712</v>
      </c>
      <c r="T455" s="16"/>
      <c r="U455" s="16">
        <v>1760000</v>
      </c>
      <c r="V455" s="16"/>
      <c r="W455" s="16">
        <v>96365</v>
      </c>
      <c r="X455" s="16"/>
      <c r="Y455" s="16">
        <v>971313</v>
      </c>
      <c r="Z455" s="16"/>
      <c r="AA455" s="16">
        <v>0</v>
      </c>
      <c r="AB455" s="16"/>
      <c r="AC455" s="16">
        <v>864</v>
      </c>
      <c r="AD455" s="16"/>
      <c r="AE455" s="16">
        <f t="shared" si="13"/>
        <v>4051366</v>
      </c>
    </row>
    <row r="456" spans="1:31" ht="12.75" customHeight="1">
      <c r="A456" s="1" t="s">
        <v>337</v>
      </c>
      <c r="B456" s="1"/>
      <c r="C456" s="1" t="s">
        <v>78</v>
      </c>
      <c r="D456" s="16"/>
      <c r="E456" s="16">
        <v>7587</v>
      </c>
      <c r="F456" s="16"/>
      <c r="G456" s="16">
        <v>0</v>
      </c>
      <c r="H456" s="16"/>
      <c r="I456" s="16">
        <v>51454</v>
      </c>
      <c r="J456" s="16"/>
      <c r="K456" s="16">
        <v>0</v>
      </c>
      <c r="L456" s="16"/>
      <c r="M456" s="16">
        <v>0</v>
      </c>
      <c r="N456" s="16"/>
      <c r="O456" s="16">
        <v>0</v>
      </c>
      <c r="P456" s="16"/>
      <c r="Q456" s="16">
        <v>3112</v>
      </c>
      <c r="R456" s="16"/>
      <c r="S456" s="16">
        <v>2681</v>
      </c>
      <c r="T456" s="16"/>
      <c r="U456" s="16">
        <v>0</v>
      </c>
      <c r="V456" s="16"/>
      <c r="W456" s="16">
        <v>0</v>
      </c>
      <c r="X456" s="16"/>
      <c r="Y456" s="16">
        <v>0</v>
      </c>
      <c r="Z456" s="16"/>
      <c r="AA456" s="16">
        <v>0</v>
      </c>
      <c r="AB456" s="16"/>
      <c r="AC456" s="16">
        <v>0</v>
      </c>
      <c r="AD456" s="16"/>
      <c r="AE456" s="16">
        <f t="shared" si="13"/>
        <v>64834</v>
      </c>
    </row>
    <row r="457" spans="1:31" ht="12.75" customHeight="1">
      <c r="A457" s="1" t="s">
        <v>338</v>
      </c>
      <c r="B457" s="1"/>
      <c r="C457" s="1" t="s">
        <v>90</v>
      </c>
      <c r="D457" s="16"/>
      <c r="E457" s="16">
        <v>7474</v>
      </c>
      <c r="F457" s="16"/>
      <c r="G457" s="16">
        <v>0</v>
      </c>
      <c r="H457" s="16"/>
      <c r="I457" s="16">
        <f>26146+32548</f>
        <v>58694</v>
      </c>
      <c r="J457" s="16"/>
      <c r="K457" s="16">
        <v>0</v>
      </c>
      <c r="L457" s="16"/>
      <c r="M457" s="16">
        <v>0</v>
      </c>
      <c r="N457" s="16"/>
      <c r="O457" s="16">
        <v>40225</v>
      </c>
      <c r="P457" s="16"/>
      <c r="Q457" s="16">
        <v>0</v>
      </c>
      <c r="R457" s="16"/>
      <c r="S457" s="16">
        <f>10600+173</f>
        <v>10773</v>
      </c>
      <c r="T457" s="16"/>
      <c r="U457" s="16">
        <v>0</v>
      </c>
      <c r="V457" s="16"/>
      <c r="W457" s="16">
        <v>0</v>
      </c>
      <c r="X457" s="16"/>
      <c r="Y457" s="16">
        <v>1192</v>
      </c>
      <c r="Z457" s="16"/>
      <c r="AA457" s="16">
        <v>0</v>
      </c>
      <c r="AB457" s="16"/>
      <c r="AC457" s="16">
        <v>0</v>
      </c>
      <c r="AD457" s="16"/>
      <c r="AE457" s="16">
        <f t="shared" si="13"/>
        <v>118358</v>
      </c>
    </row>
    <row r="458" spans="1:31" ht="12.75" customHeight="1">
      <c r="A458" s="1" t="s">
        <v>215</v>
      </c>
      <c r="C458" s="1" t="s">
        <v>110</v>
      </c>
      <c r="E458" s="16">
        <v>228425</v>
      </c>
      <c r="F458" s="16"/>
      <c r="G458" s="16">
        <v>1103615</v>
      </c>
      <c r="H458" s="16"/>
      <c r="I458" s="16">
        <v>563521</v>
      </c>
      <c r="J458" s="16"/>
      <c r="K458" s="16">
        <v>7451</v>
      </c>
      <c r="L458" s="16"/>
      <c r="M458" s="16">
        <v>46113</v>
      </c>
      <c r="N458" s="16"/>
      <c r="O458" s="16">
        <v>35610</v>
      </c>
      <c r="P458" s="16"/>
      <c r="Q458" s="16">
        <v>137523</v>
      </c>
      <c r="R458" s="16"/>
      <c r="S458" s="16">
        <v>2191472</v>
      </c>
      <c r="T458" s="16"/>
      <c r="U458" s="16">
        <v>0</v>
      </c>
      <c r="V458" s="16"/>
      <c r="W458" s="16">
        <v>34817</v>
      </c>
      <c r="X458" s="16"/>
      <c r="Y458" s="16">
        <v>810000</v>
      </c>
      <c r="Z458" s="16"/>
      <c r="AA458" s="16">
        <v>200000</v>
      </c>
      <c r="AB458" s="16"/>
      <c r="AC458" s="16">
        <v>0</v>
      </c>
      <c r="AD458" s="16"/>
      <c r="AE458" s="16">
        <f t="shared" si="13"/>
        <v>5358547</v>
      </c>
    </row>
    <row r="459" spans="1:31" ht="12.75" customHeight="1">
      <c r="A459" s="1" t="s">
        <v>339</v>
      </c>
      <c r="B459" s="1"/>
      <c r="C459" s="1" t="s">
        <v>250</v>
      </c>
      <c r="D459" s="16"/>
      <c r="E459" s="16">
        <f>539768</f>
        <v>539768</v>
      </c>
      <c r="F459" s="16"/>
      <c r="G459" s="16">
        <v>0</v>
      </c>
      <c r="H459" s="16"/>
      <c r="I459" s="16">
        <f>1586181+153400+1270491</f>
        <v>3010072</v>
      </c>
      <c r="J459" s="16"/>
      <c r="K459" s="16">
        <v>48586</v>
      </c>
      <c r="L459" s="16"/>
      <c r="M459" s="16">
        <v>61990</v>
      </c>
      <c r="N459" s="16"/>
      <c r="O459" s="16">
        <v>76188</v>
      </c>
      <c r="P459" s="16"/>
      <c r="Q459" s="16">
        <v>0</v>
      </c>
      <c r="R459" s="16"/>
      <c r="S459" s="16">
        <v>592391</v>
      </c>
      <c r="T459" s="16"/>
      <c r="U459" s="16">
        <v>0</v>
      </c>
      <c r="V459" s="16"/>
      <c r="W459" s="16">
        <v>2029</v>
      </c>
      <c r="X459" s="16"/>
      <c r="Y459" s="16">
        <v>5420000</v>
      </c>
      <c r="Z459" s="16"/>
      <c r="AA459" s="16">
        <v>0</v>
      </c>
      <c r="AB459" s="16"/>
      <c r="AC459" s="16">
        <v>167732</v>
      </c>
      <c r="AD459" s="16"/>
      <c r="AE459" s="16">
        <f t="shared" si="13"/>
        <v>9918756</v>
      </c>
    </row>
    <row r="460" spans="1:31" s="16" customFormat="1" ht="12.75" customHeight="1">
      <c r="A460" s="16" t="s">
        <v>708</v>
      </c>
      <c r="B460" s="41"/>
      <c r="C460" s="16" t="s">
        <v>110</v>
      </c>
      <c r="E460" s="16">
        <v>90773</v>
      </c>
      <c r="G460" s="16">
        <v>387744</v>
      </c>
      <c r="I460" s="16">
        <v>96854</v>
      </c>
      <c r="K460" s="16">
        <v>0</v>
      </c>
      <c r="M460" s="16">
        <v>19643</v>
      </c>
      <c r="O460" s="16">
        <v>256</v>
      </c>
      <c r="Q460" s="16">
        <v>9488</v>
      </c>
      <c r="S460" s="16">
        <v>20453</v>
      </c>
      <c r="U460" s="16">
        <v>0</v>
      </c>
      <c r="W460" s="16">
        <v>0</v>
      </c>
      <c r="Y460" s="16">
        <v>330000</v>
      </c>
      <c r="AA460" s="16">
        <v>0</v>
      </c>
      <c r="AC460" s="16">
        <v>0</v>
      </c>
      <c r="AE460" s="16">
        <f t="shared" si="13"/>
        <v>955211</v>
      </c>
    </row>
    <row r="461" spans="1:31" ht="12.75" customHeight="1">
      <c r="A461" s="1" t="s">
        <v>720</v>
      </c>
      <c r="C461" s="1" t="s">
        <v>318</v>
      </c>
      <c r="E461" s="16">
        <v>8179</v>
      </c>
      <c r="F461" s="16"/>
      <c r="G461" s="16">
        <v>0</v>
      </c>
      <c r="H461" s="16"/>
      <c r="I461" s="16">
        <v>8303</v>
      </c>
      <c r="J461" s="16"/>
      <c r="K461" s="16">
        <v>0</v>
      </c>
      <c r="L461" s="16"/>
      <c r="M461" s="16">
        <v>18782</v>
      </c>
      <c r="N461" s="16"/>
      <c r="O461" s="16">
        <v>40</v>
      </c>
      <c r="P461" s="16"/>
      <c r="Q461" s="16">
        <v>427</v>
      </c>
      <c r="R461" s="16"/>
      <c r="S461" s="16">
        <v>25066</v>
      </c>
      <c r="T461" s="16"/>
      <c r="U461" s="16">
        <v>0</v>
      </c>
      <c r="V461" s="16"/>
      <c r="W461" s="16">
        <v>0</v>
      </c>
      <c r="X461" s="16"/>
      <c r="Y461" s="16">
        <v>0</v>
      </c>
      <c r="Z461" s="16"/>
      <c r="AA461" s="16">
        <v>0</v>
      </c>
      <c r="AB461" s="16"/>
      <c r="AC461" s="16">
        <v>0</v>
      </c>
      <c r="AD461" s="16"/>
      <c r="AE461" s="16">
        <f t="shared" si="13"/>
        <v>60797</v>
      </c>
    </row>
    <row r="462" spans="1:31" ht="12.75" customHeight="1">
      <c r="A462" s="1" t="s">
        <v>784</v>
      </c>
      <c r="B462" s="1"/>
      <c r="E462" s="1"/>
      <c r="F462" s="1"/>
      <c r="G462" s="1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20"/>
      <c r="AC462" s="16"/>
      <c r="AD462" s="20"/>
      <c r="AE462" s="32" t="s">
        <v>785</v>
      </c>
    </row>
    <row r="463" spans="1:31" s="36" customFormat="1" ht="12.75" customHeight="1">
      <c r="A463" s="36" t="s">
        <v>497</v>
      </c>
      <c r="B463" s="42"/>
      <c r="C463" s="36" t="s">
        <v>102</v>
      </c>
      <c r="E463" s="36">
        <v>111762</v>
      </c>
      <c r="G463" s="36">
        <v>0</v>
      </c>
      <c r="I463" s="36">
        <v>123025</v>
      </c>
      <c r="K463" s="36">
        <v>0</v>
      </c>
      <c r="M463" s="36">
        <v>437616</v>
      </c>
      <c r="O463" s="36">
        <v>67001</v>
      </c>
      <c r="Q463" s="36">
        <v>2520</v>
      </c>
      <c r="S463" s="36">
        <v>9456</v>
      </c>
      <c r="U463" s="36">
        <v>0</v>
      </c>
      <c r="W463" s="36">
        <v>0</v>
      </c>
      <c r="Y463" s="36">
        <v>0</v>
      </c>
      <c r="AA463" s="36">
        <v>0</v>
      </c>
      <c r="AC463" s="36">
        <v>0</v>
      </c>
      <c r="AE463" s="36">
        <f aca="true" t="shared" si="14" ref="AE463:AE494">SUM(E463:AC463)</f>
        <v>751380</v>
      </c>
    </row>
    <row r="464" spans="1:31" ht="12.75" customHeight="1">
      <c r="A464" s="1" t="s">
        <v>340</v>
      </c>
      <c r="B464" s="1"/>
      <c r="C464" s="1" t="s">
        <v>78</v>
      </c>
      <c r="D464" s="16"/>
      <c r="E464" s="16">
        <v>2632</v>
      </c>
      <c r="F464" s="16"/>
      <c r="G464" s="16">
        <v>0</v>
      </c>
      <c r="H464" s="16"/>
      <c r="I464" s="16">
        <v>41626</v>
      </c>
      <c r="J464" s="16"/>
      <c r="K464" s="16">
        <v>0</v>
      </c>
      <c r="L464" s="16"/>
      <c r="M464" s="16">
        <v>0</v>
      </c>
      <c r="N464" s="16"/>
      <c r="O464" s="16">
        <v>0</v>
      </c>
      <c r="P464" s="16"/>
      <c r="Q464" s="16">
        <v>253</v>
      </c>
      <c r="R464" s="16"/>
      <c r="S464" s="16">
        <v>818</v>
      </c>
      <c r="T464" s="16"/>
      <c r="U464" s="16">
        <v>0</v>
      </c>
      <c r="V464" s="16"/>
      <c r="W464" s="16">
        <v>0</v>
      </c>
      <c r="X464" s="16"/>
      <c r="Y464" s="16">
        <v>0</v>
      </c>
      <c r="Z464" s="16"/>
      <c r="AA464" s="16">
        <v>0</v>
      </c>
      <c r="AB464" s="16"/>
      <c r="AC464" s="16">
        <v>0</v>
      </c>
      <c r="AD464" s="16"/>
      <c r="AE464" s="16">
        <f t="shared" si="14"/>
        <v>45329</v>
      </c>
    </row>
    <row r="465" spans="1:31" ht="12.75" customHeight="1">
      <c r="A465" s="1" t="s">
        <v>341</v>
      </c>
      <c r="B465" s="1"/>
      <c r="C465" s="1" t="s">
        <v>110</v>
      </c>
      <c r="D465" s="16"/>
      <c r="E465" s="16">
        <v>29220</v>
      </c>
      <c r="F465" s="16"/>
      <c r="G465" s="16">
        <f>108457+219882</f>
        <v>328339</v>
      </c>
      <c r="H465" s="16"/>
      <c r="I465" s="16">
        <f>69286+59315</f>
        <v>128601</v>
      </c>
      <c r="J465" s="16"/>
      <c r="K465" s="16">
        <v>484</v>
      </c>
      <c r="L465" s="16"/>
      <c r="M465" s="16">
        <v>0</v>
      </c>
      <c r="N465" s="16"/>
      <c r="O465" s="16">
        <v>4050</v>
      </c>
      <c r="P465" s="16"/>
      <c r="Q465" s="16">
        <f>5319+81</f>
        <v>5400</v>
      </c>
      <c r="R465" s="16"/>
      <c r="S465" s="16">
        <f>21944+1166+32861</f>
        <v>55971</v>
      </c>
      <c r="T465" s="16"/>
      <c r="U465" s="16">
        <v>0</v>
      </c>
      <c r="V465" s="16"/>
      <c r="W465" s="16">
        <v>0</v>
      </c>
      <c r="X465" s="16"/>
      <c r="Y465" s="16">
        <v>20000</v>
      </c>
      <c r="Z465" s="16"/>
      <c r="AA465" s="16">
        <v>0</v>
      </c>
      <c r="AB465" s="16"/>
      <c r="AC465" s="16">
        <v>0</v>
      </c>
      <c r="AD465" s="16"/>
      <c r="AE465" s="16">
        <f t="shared" si="14"/>
        <v>572065</v>
      </c>
    </row>
    <row r="466" spans="1:31" ht="12.75" customHeight="1">
      <c r="A466" s="1" t="s">
        <v>342</v>
      </c>
      <c r="B466" s="1"/>
      <c r="C466" s="1" t="s">
        <v>96</v>
      </c>
      <c r="D466" s="16"/>
      <c r="E466" s="16">
        <v>10185</v>
      </c>
      <c r="F466" s="16"/>
      <c r="G466" s="16">
        <v>0</v>
      </c>
      <c r="H466" s="16"/>
      <c r="I466" s="16">
        <f>8183+9074</f>
        <v>17257</v>
      </c>
      <c r="J466" s="16"/>
      <c r="K466" s="16">
        <v>0</v>
      </c>
      <c r="L466" s="16"/>
      <c r="M466" s="16">
        <v>0</v>
      </c>
      <c r="N466" s="16"/>
      <c r="O466" s="16">
        <v>5</v>
      </c>
      <c r="P466" s="16"/>
      <c r="Q466" s="16">
        <f>366+514</f>
        <v>880</v>
      </c>
      <c r="R466" s="16"/>
      <c r="S466" s="16">
        <v>303</v>
      </c>
      <c r="T466" s="16"/>
      <c r="U466" s="16">
        <v>0</v>
      </c>
      <c r="V466" s="16"/>
      <c r="W466" s="16">
        <v>0</v>
      </c>
      <c r="X466" s="16"/>
      <c r="Y466" s="16">
        <v>0</v>
      </c>
      <c r="Z466" s="16"/>
      <c r="AA466" s="16">
        <v>0</v>
      </c>
      <c r="AB466" s="16"/>
      <c r="AC466" s="16">
        <v>0</v>
      </c>
      <c r="AD466" s="16"/>
      <c r="AE466" s="16">
        <f t="shared" si="14"/>
        <v>28630</v>
      </c>
    </row>
    <row r="467" spans="1:31" ht="12.75" customHeight="1">
      <c r="A467" s="1" t="s">
        <v>343</v>
      </c>
      <c r="B467" s="1"/>
      <c r="C467" s="1" t="s">
        <v>65</v>
      </c>
      <c r="D467" s="16"/>
      <c r="E467" s="16">
        <f>1140</f>
        <v>1140</v>
      </c>
      <c r="F467" s="16"/>
      <c r="G467" s="16">
        <v>0</v>
      </c>
      <c r="H467" s="16"/>
      <c r="I467" s="16">
        <f>4109+678</f>
        <v>4787</v>
      </c>
      <c r="J467" s="16"/>
      <c r="K467" s="16">
        <v>0</v>
      </c>
      <c r="L467" s="16"/>
      <c r="M467" s="16">
        <v>0</v>
      </c>
      <c r="N467" s="16"/>
      <c r="O467" s="16">
        <v>0</v>
      </c>
      <c r="P467" s="16"/>
      <c r="Q467" s="16">
        <v>37</v>
      </c>
      <c r="R467" s="16"/>
      <c r="S467" s="16">
        <v>611</v>
      </c>
      <c r="T467" s="16"/>
      <c r="U467" s="16">
        <v>0</v>
      </c>
      <c r="V467" s="16"/>
      <c r="W467" s="16">
        <v>0</v>
      </c>
      <c r="X467" s="16"/>
      <c r="Y467" s="16">
        <v>4000</v>
      </c>
      <c r="Z467" s="16"/>
      <c r="AA467" s="16">
        <v>0</v>
      </c>
      <c r="AB467" s="16"/>
      <c r="AC467" s="16">
        <v>0</v>
      </c>
      <c r="AD467" s="16"/>
      <c r="AE467" s="16">
        <f t="shared" si="14"/>
        <v>10575</v>
      </c>
    </row>
    <row r="468" spans="1:31" ht="12.75" customHeight="1">
      <c r="A468" s="1" t="s">
        <v>82</v>
      </c>
      <c r="B468" s="1"/>
      <c r="C468" s="1" t="s">
        <v>82</v>
      </c>
      <c r="D468" s="16"/>
      <c r="E468" s="16">
        <v>603438</v>
      </c>
      <c r="F468" s="16"/>
      <c r="G468" s="16">
        <v>439161</v>
      </c>
      <c r="H468" s="16"/>
      <c r="I468" s="16">
        <v>127953</v>
      </c>
      <c r="J468" s="16"/>
      <c r="K468" s="16">
        <v>1056</v>
      </c>
      <c r="L468" s="16"/>
      <c r="M468" s="16">
        <v>134096</v>
      </c>
      <c r="N468" s="16"/>
      <c r="O468" s="16">
        <v>167287</v>
      </c>
      <c r="P468" s="16"/>
      <c r="Q468" s="16">
        <v>13587</v>
      </c>
      <c r="R468" s="16"/>
      <c r="S468" s="16">
        <v>27203</v>
      </c>
      <c r="T468" s="16"/>
      <c r="U468" s="16">
        <v>0</v>
      </c>
      <c r="V468" s="16"/>
      <c r="W468" s="16">
        <v>0</v>
      </c>
      <c r="X468" s="16"/>
      <c r="Y468" s="16">
        <v>78294</v>
      </c>
      <c r="Z468" s="16"/>
      <c r="AA468" s="16">
        <v>0</v>
      </c>
      <c r="AB468" s="16"/>
      <c r="AC468" s="16">
        <v>0</v>
      </c>
      <c r="AD468" s="16"/>
      <c r="AE468" s="16">
        <f t="shared" si="14"/>
        <v>1592075</v>
      </c>
    </row>
    <row r="469" spans="1:31" ht="12.75" customHeight="1">
      <c r="A469" s="1" t="s">
        <v>344</v>
      </c>
      <c r="B469" s="1"/>
      <c r="C469" s="1" t="s">
        <v>82</v>
      </c>
      <c r="D469" s="16"/>
      <c r="E469" s="16">
        <v>139467</v>
      </c>
      <c r="F469" s="16"/>
      <c r="G469" s="16">
        <v>0</v>
      </c>
      <c r="H469" s="16"/>
      <c r="I469" s="16">
        <v>312564</v>
      </c>
      <c r="J469" s="16"/>
      <c r="K469" s="16">
        <v>0</v>
      </c>
      <c r="L469" s="16"/>
      <c r="M469" s="16">
        <v>57658</v>
      </c>
      <c r="N469" s="16"/>
      <c r="O469" s="16">
        <v>3290</v>
      </c>
      <c r="P469" s="16"/>
      <c r="Q469" s="16">
        <v>1231</v>
      </c>
      <c r="R469" s="16"/>
      <c r="S469" s="16">
        <v>8530</v>
      </c>
      <c r="T469" s="16"/>
      <c r="U469" s="16">
        <v>0</v>
      </c>
      <c r="V469" s="16"/>
      <c r="W469" s="16">
        <v>0</v>
      </c>
      <c r="X469" s="16"/>
      <c r="Y469" s="16">
        <v>61800</v>
      </c>
      <c r="Z469" s="16"/>
      <c r="AA469" s="16">
        <v>0</v>
      </c>
      <c r="AB469" s="16"/>
      <c r="AC469" s="16">
        <v>0</v>
      </c>
      <c r="AD469" s="16"/>
      <c r="AE469" s="16">
        <f t="shared" si="14"/>
        <v>584540</v>
      </c>
    </row>
    <row r="470" spans="1:31" ht="12.75" customHeight="1">
      <c r="A470" s="1" t="s">
        <v>345</v>
      </c>
      <c r="B470" s="1"/>
      <c r="C470" s="30" t="s">
        <v>346</v>
      </c>
      <c r="E470" s="16">
        <v>180405</v>
      </c>
      <c r="F470" s="16"/>
      <c r="G470" s="16">
        <v>0</v>
      </c>
      <c r="H470" s="16"/>
      <c r="I470" s="16">
        <v>105944</v>
      </c>
      <c r="J470" s="16"/>
      <c r="K470" s="16">
        <v>0</v>
      </c>
      <c r="L470" s="16"/>
      <c r="M470" s="16">
        <v>56532</v>
      </c>
      <c r="N470" s="16"/>
      <c r="O470" s="16">
        <v>46059</v>
      </c>
      <c r="P470" s="16"/>
      <c r="Q470" s="16">
        <v>4373</v>
      </c>
      <c r="R470" s="16"/>
      <c r="S470" s="16">
        <v>26079</v>
      </c>
      <c r="T470" s="16"/>
      <c r="U470" s="16">
        <v>0</v>
      </c>
      <c r="V470" s="16"/>
      <c r="W470" s="16">
        <v>0</v>
      </c>
      <c r="X470" s="16"/>
      <c r="Y470" s="16">
        <v>2450</v>
      </c>
      <c r="Z470" s="16"/>
      <c r="AA470" s="16">
        <v>0</v>
      </c>
      <c r="AB470" s="16"/>
      <c r="AC470" s="16">
        <v>0</v>
      </c>
      <c r="AD470" s="16"/>
      <c r="AE470" s="16">
        <f t="shared" si="14"/>
        <v>421842</v>
      </c>
    </row>
    <row r="471" spans="1:31" ht="12.75" customHeight="1">
      <c r="A471" s="1" t="s">
        <v>774</v>
      </c>
      <c r="C471" s="1" t="s">
        <v>94</v>
      </c>
      <c r="E471" s="16">
        <v>129225</v>
      </c>
      <c r="F471" s="16"/>
      <c r="G471" s="16">
        <v>354892</v>
      </c>
      <c r="H471" s="16"/>
      <c r="I471" s="16">
        <v>108168</v>
      </c>
      <c r="J471" s="16"/>
      <c r="K471" s="16">
        <v>4677</v>
      </c>
      <c r="L471" s="16"/>
      <c r="M471" s="16">
        <v>0</v>
      </c>
      <c r="N471" s="16"/>
      <c r="O471" s="16">
        <v>13923</v>
      </c>
      <c r="P471" s="16"/>
      <c r="Q471" s="16">
        <v>25277</v>
      </c>
      <c r="R471" s="16"/>
      <c r="S471" s="16">
        <v>13203</v>
      </c>
      <c r="T471" s="16"/>
      <c r="U471" s="16">
        <v>110058</v>
      </c>
      <c r="V471" s="16"/>
      <c r="W471" s="16">
        <v>0</v>
      </c>
      <c r="X471" s="16"/>
      <c r="Y471" s="16">
        <v>330000</v>
      </c>
      <c r="Z471" s="16"/>
      <c r="AA471" s="16">
        <v>0</v>
      </c>
      <c r="AB471" s="16"/>
      <c r="AC471" s="16">
        <v>0</v>
      </c>
      <c r="AD471" s="16"/>
      <c r="AE471" s="16">
        <f t="shared" si="14"/>
        <v>1089423</v>
      </c>
    </row>
    <row r="472" spans="1:31" ht="12.75" customHeight="1">
      <c r="A472" s="1" t="s">
        <v>347</v>
      </c>
      <c r="B472" s="1"/>
      <c r="C472" s="1" t="s">
        <v>129</v>
      </c>
      <c r="D472" s="16"/>
      <c r="E472" s="16">
        <f>107857+12447+115</f>
        <v>120419</v>
      </c>
      <c r="F472" s="16"/>
      <c r="G472" s="16">
        <f>266878</f>
        <v>266878</v>
      </c>
      <c r="H472" s="16"/>
      <c r="I472" s="16">
        <f>1564+138786+5572+19+14360+2902+40737+3160+16049+794+39774+28990+80226+137675+31965+17545+3128</f>
        <v>563246</v>
      </c>
      <c r="J472" s="16"/>
      <c r="K472" s="16">
        <v>0</v>
      </c>
      <c r="L472" s="16"/>
      <c r="M472" s="16">
        <f>6518+1784</f>
        <v>8302</v>
      </c>
      <c r="N472" s="16"/>
      <c r="O472" s="16">
        <f>69+43577+34506+521+895+90+2745</f>
        <v>82403</v>
      </c>
      <c r="P472" s="16"/>
      <c r="Q472" s="16">
        <v>2239</v>
      </c>
      <c r="R472" s="16"/>
      <c r="S472" s="16">
        <f>91+2418</f>
        <v>2509</v>
      </c>
      <c r="T472" s="16"/>
      <c r="U472" s="16">
        <v>0</v>
      </c>
      <c r="V472" s="16"/>
      <c r="W472" s="16">
        <v>4944</v>
      </c>
      <c r="X472" s="16"/>
      <c r="Y472" s="16">
        <v>0</v>
      </c>
      <c r="Z472" s="16"/>
      <c r="AA472" s="16">
        <v>10000</v>
      </c>
      <c r="AB472" s="16"/>
      <c r="AC472" s="16">
        <v>779</v>
      </c>
      <c r="AD472" s="16"/>
      <c r="AE472" s="16">
        <f t="shared" si="14"/>
        <v>1061719</v>
      </c>
    </row>
    <row r="473" spans="1:31" ht="12.75" customHeight="1">
      <c r="A473" s="1" t="s">
        <v>348</v>
      </c>
      <c r="B473" s="1"/>
      <c r="C473" s="1" t="s">
        <v>197</v>
      </c>
      <c r="D473" s="16"/>
      <c r="E473" s="16">
        <f>65967</f>
        <v>65967</v>
      </c>
      <c r="F473" s="16"/>
      <c r="G473" s="16">
        <v>594735</v>
      </c>
      <c r="H473" s="16"/>
      <c r="I473" s="16">
        <f>349263</f>
        <v>349263</v>
      </c>
      <c r="J473" s="16"/>
      <c r="K473" s="16">
        <v>63223</v>
      </c>
      <c r="L473" s="16"/>
      <c r="M473" s="16">
        <v>0</v>
      </c>
      <c r="N473" s="16"/>
      <c r="O473" s="16">
        <f>7812+19667</f>
        <v>27479</v>
      </c>
      <c r="P473" s="16"/>
      <c r="Q473" s="16">
        <f>9582</f>
        <v>9582</v>
      </c>
      <c r="R473" s="16"/>
      <c r="S473" s="16">
        <f>104308</f>
        <v>104308</v>
      </c>
      <c r="T473" s="16"/>
      <c r="U473" s="16">
        <v>0</v>
      </c>
      <c r="V473" s="16"/>
      <c r="W473" s="16">
        <v>0</v>
      </c>
      <c r="X473" s="16"/>
      <c r="Y473" s="16">
        <v>12000</v>
      </c>
      <c r="Z473" s="16"/>
      <c r="AA473" s="16">
        <v>0</v>
      </c>
      <c r="AB473" s="16"/>
      <c r="AC473" s="16">
        <v>36000</v>
      </c>
      <c r="AD473" s="16"/>
      <c r="AE473" s="16">
        <f t="shared" si="14"/>
        <v>1262557</v>
      </c>
    </row>
    <row r="474" spans="1:31" ht="12.75" customHeight="1">
      <c r="A474" s="1" t="s">
        <v>349</v>
      </c>
      <c r="B474" s="1"/>
      <c r="C474" s="30" t="s">
        <v>92</v>
      </c>
      <c r="E474" s="16">
        <f>25394</f>
        <v>25394</v>
      </c>
      <c r="F474" s="16"/>
      <c r="G474" s="16">
        <v>177721</v>
      </c>
      <c r="H474" s="16"/>
      <c r="I474" s="16">
        <f>50105+43836+93950</f>
        <v>187891</v>
      </c>
      <c r="J474" s="16"/>
      <c r="K474" s="16">
        <v>0</v>
      </c>
      <c r="L474" s="16"/>
      <c r="M474" s="16">
        <v>82103</v>
      </c>
      <c r="N474" s="16"/>
      <c r="O474" s="16">
        <f>6594</f>
        <v>6594</v>
      </c>
      <c r="P474" s="16"/>
      <c r="Q474" s="16">
        <v>233</v>
      </c>
      <c r="R474" s="16"/>
      <c r="S474" s="16">
        <f>4399+50208</f>
        <v>54607</v>
      </c>
      <c r="T474" s="16"/>
      <c r="U474" s="16">
        <v>218000</v>
      </c>
      <c r="V474" s="16"/>
      <c r="W474" s="16">
        <v>0</v>
      </c>
      <c r="X474" s="16"/>
      <c r="Y474" s="16">
        <v>0</v>
      </c>
      <c r="Z474" s="16"/>
      <c r="AA474" s="16">
        <v>0</v>
      </c>
      <c r="AB474" s="16"/>
      <c r="AC474" s="16">
        <v>0</v>
      </c>
      <c r="AD474" s="16"/>
      <c r="AE474" s="16">
        <f t="shared" si="14"/>
        <v>752543</v>
      </c>
    </row>
    <row r="475" spans="1:31" ht="12.75" customHeight="1">
      <c r="A475" s="1" t="s">
        <v>350</v>
      </c>
      <c r="B475" s="1"/>
      <c r="C475" s="1" t="s">
        <v>217</v>
      </c>
      <c r="D475" s="16"/>
      <c r="E475" s="16">
        <f>163765</f>
        <v>163765</v>
      </c>
      <c r="F475" s="16"/>
      <c r="G475" s="16">
        <v>83302</v>
      </c>
      <c r="H475" s="16"/>
      <c r="I475" s="16">
        <v>104012</v>
      </c>
      <c r="J475" s="16"/>
      <c r="K475" s="16">
        <v>17149</v>
      </c>
      <c r="L475" s="16"/>
      <c r="M475" s="16">
        <v>66588</v>
      </c>
      <c r="N475" s="16"/>
      <c r="O475" s="16">
        <v>13684</v>
      </c>
      <c r="P475" s="16"/>
      <c r="Q475" s="16">
        <v>4171</v>
      </c>
      <c r="R475" s="16"/>
      <c r="S475" s="16">
        <v>3484</v>
      </c>
      <c r="T475" s="16"/>
      <c r="U475" s="16">
        <v>0</v>
      </c>
      <c r="V475" s="16"/>
      <c r="W475" s="16">
        <v>0</v>
      </c>
      <c r="X475" s="16"/>
      <c r="Y475" s="16">
        <v>41923</v>
      </c>
      <c r="Z475" s="16"/>
      <c r="AA475" s="16">
        <v>0</v>
      </c>
      <c r="AB475" s="16"/>
      <c r="AC475" s="16">
        <v>35943</v>
      </c>
      <c r="AD475" s="16"/>
      <c r="AE475" s="16">
        <f t="shared" si="14"/>
        <v>534021</v>
      </c>
    </row>
    <row r="476" spans="1:31" ht="12.75" customHeight="1">
      <c r="A476" s="1" t="s">
        <v>351</v>
      </c>
      <c r="B476" s="1"/>
      <c r="C476" s="1" t="s">
        <v>67</v>
      </c>
      <c r="D476" s="16"/>
      <c r="E476" s="16">
        <v>26395</v>
      </c>
      <c r="F476" s="16"/>
      <c r="G476" s="16">
        <v>0</v>
      </c>
      <c r="H476" s="16"/>
      <c r="I476" s="16">
        <f>49461</f>
        <v>49461</v>
      </c>
      <c r="J476" s="16"/>
      <c r="K476" s="16">
        <v>0</v>
      </c>
      <c r="L476" s="16"/>
      <c r="M476" s="16">
        <v>0</v>
      </c>
      <c r="N476" s="16"/>
      <c r="O476" s="16">
        <v>0</v>
      </c>
      <c r="P476" s="16"/>
      <c r="Q476" s="16">
        <v>11</v>
      </c>
      <c r="R476" s="16"/>
      <c r="S476" s="16">
        <v>8819</v>
      </c>
      <c r="T476" s="16"/>
      <c r="U476" s="16">
        <v>0</v>
      </c>
      <c r="V476" s="16"/>
      <c r="W476" s="16">
        <v>0</v>
      </c>
      <c r="X476" s="16"/>
      <c r="Y476" s="16">
        <v>0</v>
      </c>
      <c r="Z476" s="16"/>
      <c r="AA476" s="16">
        <v>0</v>
      </c>
      <c r="AB476" s="16"/>
      <c r="AC476" s="16">
        <v>0</v>
      </c>
      <c r="AD476" s="16"/>
      <c r="AE476" s="16">
        <f t="shared" si="14"/>
        <v>84686</v>
      </c>
    </row>
    <row r="477" spans="1:31" ht="12.75" customHeight="1">
      <c r="A477" s="1" t="s">
        <v>352</v>
      </c>
      <c r="B477" s="1"/>
      <c r="C477" s="1" t="s">
        <v>353</v>
      </c>
      <c r="D477" s="16"/>
      <c r="E477" s="16">
        <f>62412+51533</f>
        <v>113945</v>
      </c>
      <c r="F477" s="16"/>
      <c r="G477" s="16">
        <v>0</v>
      </c>
      <c r="H477" s="16"/>
      <c r="I477" s="16">
        <f>152084+127811</f>
        <v>279895</v>
      </c>
      <c r="J477" s="16"/>
      <c r="K477" s="16">
        <v>0</v>
      </c>
      <c r="L477" s="16"/>
      <c r="M477" s="16">
        <v>0</v>
      </c>
      <c r="N477" s="16"/>
      <c r="O477" s="16">
        <f>15554+74412</f>
        <v>89966</v>
      </c>
      <c r="P477" s="16"/>
      <c r="Q477" s="16">
        <v>1006</v>
      </c>
      <c r="R477" s="16"/>
      <c r="S477" s="16">
        <f>16302+3388</f>
        <v>19690</v>
      </c>
      <c r="T477" s="16"/>
      <c r="U477" s="16">
        <v>0</v>
      </c>
      <c r="V477" s="16"/>
      <c r="W477" s="16">
        <v>0</v>
      </c>
      <c r="X477" s="16"/>
      <c r="Y477" s="16">
        <v>0</v>
      </c>
      <c r="Z477" s="16"/>
      <c r="AA477" s="16">
        <v>0</v>
      </c>
      <c r="AB477" s="16"/>
      <c r="AC477" s="16">
        <v>0</v>
      </c>
      <c r="AD477" s="16"/>
      <c r="AE477" s="16">
        <f t="shared" si="14"/>
        <v>504502</v>
      </c>
    </row>
    <row r="478" spans="1:31" ht="12.75" customHeight="1">
      <c r="A478" s="1" t="s">
        <v>354</v>
      </c>
      <c r="B478" s="1"/>
      <c r="C478" s="1" t="s">
        <v>190</v>
      </c>
      <c r="D478" s="16"/>
      <c r="E478" s="16">
        <f>463847+89334</f>
        <v>553181</v>
      </c>
      <c r="F478" s="16"/>
      <c r="G478" s="16">
        <v>0</v>
      </c>
      <c r="H478" s="16"/>
      <c r="I478" s="16">
        <f>89625+74123</f>
        <v>163748</v>
      </c>
      <c r="J478" s="16"/>
      <c r="K478" s="16">
        <v>11658</v>
      </c>
      <c r="L478" s="16"/>
      <c r="M478" s="16">
        <f>41888+9600</f>
        <v>51488</v>
      </c>
      <c r="N478" s="16"/>
      <c r="O478" s="16">
        <f>2006+221</f>
        <v>2227</v>
      </c>
      <c r="P478" s="16"/>
      <c r="Q478" s="16">
        <v>0</v>
      </c>
      <c r="R478" s="16"/>
      <c r="S478" s="16">
        <f>68308+9893</f>
        <v>78201</v>
      </c>
      <c r="T478" s="16"/>
      <c r="U478" s="16">
        <v>269391</v>
      </c>
      <c r="V478" s="16"/>
      <c r="W478" s="16">
        <v>6889</v>
      </c>
      <c r="X478" s="16"/>
      <c r="Y478" s="16">
        <v>192675</v>
      </c>
      <c r="Z478" s="16"/>
      <c r="AA478" s="16">
        <v>5000</v>
      </c>
      <c r="AB478" s="16"/>
      <c r="AC478" s="16">
        <v>0</v>
      </c>
      <c r="AD478" s="16"/>
      <c r="AE478" s="16">
        <f t="shared" si="14"/>
        <v>1334458</v>
      </c>
    </row>
    <row r="479" spans="1:31" ht="12.75" customHeight="1">
      <c r="A479" s="1" t="s">
        <v>523</v>
      </c>
      <c r="C479" s="1" t="s">
        <v>78</v>
      </c>
      <c r="E479" s="16">
        <v>36895</v>
      </c>
      <c r="F479" s="16"/>
      <c r="G479" s="16">
        <v>0</v>
      </c>
      <c r="H479" s="16"/>
      <c r="I479" s="16">
        <v>71030</v>
      </c>
      <c r="J479" s="16"/>
      <c r="K479" s="16">
        <v>0</v>
      </c>
      <c r="L479" s="16"/>
      <c r="M479" s="16">
        <v>28618</v>
      </c>
      <c r="N479" s="16"/>
      <c r="O479" s="16">
        <v>0</v>
      </c>
      <c r="P479" s="16"/>
      <c r="Q479" s="16">
        <v>714</v>
      </c>
      <c r="R479" s="16"/>
      <c r="S479" s="16">
        <v>1801</v>
      </c>
      <c r="T479" s="16"/>
      <c r="U479" s="16">
        <v>0</v>
      </c>
      <c r="V479" s="16"/>
      <c r="W479" s="16">
        <v>0</v>
      </c>
      <c r="X479" s="16"/>
      <c r="Y479" s="16">
        <v>6200</v>
      </c>
      <c r="Z479" s="16"/>
      <c r="AA479" s="16">
        <v>0</v>
      </c>
      <c r="AB479" s="16"/>
      <c r="AC479" s="16">
        <v>811</v>
      </c>
      <c r="AD479" s="16"/>
      <c r="AE479" s="16">
        <f t="shared" si="14"/>
        <v>146069</v>
      </c>
    </row>
    <row r="480" spans="1:31" ht="12.75" customHeight="1">
      <c r="A480" s="1" t="s">
        <v>355</v>
      </c>
      <c r="B480" s="1"/>
      <c r="C480" s="1" t="s">
        <v>293</v>
      </c>
      <c r="E480" s="16">
        <v>984614</v>
      </c>
      <c r="F480" s="16"/>
      <c r="G480" s="16">
        <v>0</v>
      </c>
      <c r="H480" s="16"/>
      <c r="I480" s="16">
        <v>367587</v>
      </c>
      <c r="J480" s="16"/>
      <c r="K480" s="16">
        <v>0</v>
      </c>
      <c r="L480" s="16"/>
      <c r="M480" s="16">
        <v>270157</v>
      </c>
      <c r="N480" s="16"/>
      <c r="O480" s="16">
        <v>40068</v>
      </c>
      <c r="P480" s="16"/>
      <c r="Q480" s="16">
        <v>29192</v>
      </c>
      <c r="R480" s="16"/>
      <c r="S480" s="16">
        <v>27075</v>
      </c>
      <c r="T480" s="16"/>
      <c r="U480" s="16">
        <v>0</v>
      </c>
      <c r="V480" s="16"/>
      <c r="W480" s="16">
        <v>0</v>
      </c>
      <c r="X480" s="16"/>
      <c r="Y480" s="16">
        <v>0</v>
      </c>
      <c r="Z480" s="16"/>
      <c r="AA480" s="16">
        <v>0</v>
      </c>
      <c r="AB480" s="16"/>
      <c r="AC480" s="16">
        <v>0</v>
      </c>
      <c r="AD480" s="16"/>
      <c r="AE480" s="16">
        <f t="shared" si="14"/>
        <v>1718693</v>
      </c>
    </row>
    <row r="481" spans="1:31" ht="12.75" customHeight="1">
      <c r="A481" s="1" t="s">
        <v>356</v>
      </c>
      <c r="B481" s="1"/>
      <c r="C481" s="1" t="s">
        <v>170</v>
      </c>
      <c r="E481" s="16">
        <v>0</v>
      </c>
      <c r="F481" s="16"/>
      <c r="G481" s="16">
        <v>0</v>
      </c>
      <c r="H481" s="16"/>
      <c r="I481" s="16">
        <v>13386</v>
      </c>
      <c r="J481" s="16"/>
      <c r="K481" s="16">
        <v>0</v>
      </c>
      <c r="L481" s="16"/>
      <c r="M481" s="16">
        <v>0</v>
      </c>
      <c r="N481" s="16"/>
      <c r="O481" s="16">
        <v>370</v>
      </c>
      <c r="P481" s="16"/>
      <c r="Q481" s="16">
        <v>4366</v>
      </c>
      <c r="R481" s="16"/>
      <c r="S481" s="16">
        <v>1593</v>
      </c>
      <c r="T481" s="16"/>
      <c r="U481" s="16">
        <v>0</v>
      </c>
      <c r="V481" s="16"/>
      <c r="W481" s="16">
        <v>0</v>
      </c>
      <c r="X481" s="16"/>
      <c r="Y481" s="16">
        <v>0</v>
      </c>
      <c r="Z481" s="16"/>
      <c r="AA481" s="16">
        <v>0</v>
      </c>
      <c r="AB481" s="16"/>
      <c r="AC481" s="16">
        <v>0</v>
      </c>
      <c r="AD481" s="16"/>
      <c r="AE481" s="16">
        <f t="shared" si="14"/>
        <v>19715</v>
      </c>
    </row>
    <row r="482" spans="1:31" ht="12.75" customHeight="1">
      <c r="A482" s="1" t="s">
        <v>441</v>
      </c>
      <c r="C482" s="1" t="s">
        <v>199</v>
      </c>
      <c r="E482" s="16">
        <v>26440</v>
      </c>
      <c r="F482" s="16"/>
      <c r="G482" s="16">
        <v>0</v>
      </c>
      <c r="H482" s="16"/>
      <c r="I482" s="16">
        <v>58766</v>
      </c>
      <c r="J482" s="16"/>
      <c r="K482" s="16">
        <v>0</v>
      </c>
      <c r="L482" s="16"/>
      <c r="M482" s="16">
        <v>12083</v>
      </c>
      <c r="N482" s="16"/>
      <c r="O482" s="16">
        <v>8305</v>
      </c>
      <c r="P482" s="16"/>
      <c r="Q482" s="16">
        <v>2244</v>
      </c>
      <c r="R482" s="16"/>
      <c r="S482" s="16">
        <v>1203</v>
      </c>
      <c r="T482" s="16"/>
      <c r="U482" s="16">
        <v>69000</v>
      </c>
      <c r="V482" s="16"/>
      <c r="W482" s="16">
        <v>0</v>
      </c>
      <c r="X482" s="16"/>
      <c r="Y482" s="16">
        <v>0</v>
      </c>
      <c r="Z482" s="16"/>
      <c r="AA482" s="16">
        <v>0</v>
      </c>
      <c r="AB482" s="16"/>
      <c r="AC482" s="16">
        <v>0</v>
      </c>
      <c r="AD482" s="16"/>
      <c r="AE482" s="16">
        <f t="shared" si="14"/>
        <v>178041</v>
      </c>
    </row>
    <row r="483" spans="1:31" ht="12.75" customHeight="1">
      <c r="A483" s="1" t="s">
        <v>656</v>
      </c>
      <c r="C483" s="1" t="s">
        <v>155</v>
      </c>
      <c r="E483" s="16">
        <v>60165</v>
      </c>
      <c r="F483" s="16"/>
      <c r="G483" s="16">
        <v>147889</v>
      </c>
      <c r="H483" s="16"/>
      <c r="I483" s="16">
        <v>109198</v>
      </c>
      <c r="J483" s="16"/>
      <c r="K483" s="16">
        <v>17057</v>
      </c>
      <c r="L483" s="16"/>
      <c r="M483" s="16">
        <v>23633</v>
      </c>
      <c r="N483" s="16"/>
      <c r="O483" s="16">
        <v>0</v>
      </c>
      <c r="P483" s="16"/>
      <c r="Q483" s="16">
        <v>4826</v>
      </c>
      <c r="R483" s="16"/>
      <c r="S483" s="16">
        <v>2534</v>
      </c>
      <c r="T483" s="16"/>
      <c r="U483" s="16">
        <v>0</v>
      </c>
      <c r="V483" s="16"/>
      <c r="W483" s="16">
        <v>0</v>
      </c>
      <c r="X483" s="16"/>
      <c r="Y483" s="16">
        <v>0</v>
      </c>
      <c r="Z483" s="16"/>
      <c r="AA483" s="16">
        <v>1200</v>
      </c>
      <c r="AB483" s="16"/>
      <c r="AC483" s="16">
        <v>6523</v>
      </c>
      <c r="AD483" s="16"/>
      <c r="AE483" s="16">
        <f t="shared" si="14"/>
        <v>373025</v>
      </c>
    </row>
    <row r="484" spans="1:31" ht="12.75" customHeight="1">
      <c r="A484" s="1" t="s">
        <v>755</v>
      </c>
      <c r="C484" s="1" t="s">
        <v>172</v>
      </c>
      <c r="E484" s="16">
        <v>3139</v>
      </c>
      <c r="F484" s="16"/>
      <c r="G484" s="16">
        <v>0</v>
      </c>
      <c r="H484" s="16"/>
      <c r="I484" s="16">
        <v>12424</v>
      </c>
      <c r="J484" s="16"/>
      <c r="K484" s="16">
        <v>0</v>
      </c>
      <c r="L484" s="16"/>
      <c r="M484" s="16">
        <v>0</v>
      </c>
      <c r="N484" s="16"/>
      <c r="O484" s="16">
        <v>0</v>
      </c>
      <c r="P484" s="16"/>
      <c r="Q484" s="16">
        <v>505</v>
      </c>
      <c r="R484" s="16"/>
      <c r="S484" s="16">
        <v>646</v>
      </c>
      <c r="T484" s="16"/>
      <c r="U484" s="16">
        <v>0</v>
      </c>
      <c r="V484" s="16"/>
      <c r="W484" s="16">
        <v>0</v>
      </c>
      <c r="X484" s="16"/>
      <c r="Y484" s="16">
        <v>0</v>
      </c>
      <c r="Z484" s="16"/>
      <c r="AA484" s="16">
        <v>0</v>
      </c>
      <c r="AB484" s="16"/>
      <c r="AC484" s="16">
        <v>0</v>
      </c>
      <c r="AD484" s="16"/>
      <c r="AE484" s="16">
        <f t="shared" si="14"/>
        <v>16714</v>
      </c>
    </row>
    <row r="485" spans="1:31" ht="12.75" customHeight="1">
      <c r="A485" s="1" t="s">
        <v>533</v>
      </c>
      <c r="C485" s="1" t="s">
        <v>98</v>
      </c>
      <c r="E485" s="16">
        <v>59534</v>
      </c>
      <c r="F485" s="16"/>
      <c r="G485" s="16">
        <v>0</v>
      </c>
      <c r="H485" s="16"/>
      <c r="I485" s="16">
        <v>51466</v>
      </c>
      <c r="J485" s="16"/>
      <c r="K485" s="16">
        <v>0</v>
      </c>
      <c r="L485" s="16"/>
      <c r="M485" s="16">
        <v>10045</v>
      </c>
      <c r="N485" s="16"/>
      <c r="O485" s="16">
        <v>4732</v>
      </c>
      <c r="P485" s="16"/>
      <c r="Q485" s="16">
        <v>1753</v>
      </c>
      <c r="R485" s="16"/>
      <c r="S485" s="16">
        <v>3372</v>
      </c>
      <c r="T485" s="16"/>
      <c r="U485" s="16">
        <v>0</v>
      </c>
      <c r="V485" s="16"/>
      <c r="W485" s="16">
        <v>0</v>
      </c>
      <c r="X485" s="16"/>
      <c r="Y485" s="16">
        <v>3373</v>
      </c>
      <c r="Z485" s="16"/>
      <c r="AA485" s="16">
        <v>0</v>
      </c>
      <c r="AB485" s="16"/>
      <c r="AC485" s="16">
        <v>0</v>
      </c>
      <c r="AD485" s="16"/>
      <c r="AE485" s="16">
        <f t="shared" si="14"/>
        <v>134275</v>
      </c>
    </row>
    <row r="486" spans="1:31" ht="12.75" customHeight="1">
      <c r="A486" s="1" t="s">
        <v>710</v>
      </c>
      <c r="C486" s="1" t="s">
        <v>147</v>
      </c>
      <c r="E486" s="16">
        <v>248303</v>
      </c>
      <c r="F486" s="16"/>
      <c r="G486" s="16">
        <v>0</v>
      </c>
      <c r="H486" s="16"/>
      <c r="I486" s="16">
        <v>197148</v>
      </c>
      <c r="J486" s="16"/>
      <c r="K486" s="16">
        <v>0</v>
      </c>
      <c r="L486" s="16"/>
      <c r="M486" s="16">
        <v>30665</v>
      </c>
      <c r="N486" s="16"/>
      <c r="O486" s="16">
        <v>16210</v>
      </c>
      <c r="P486" s="16"/>
      <c r="Q486" s="16">
        <v>5196</v>
      </c>
      <c r="R486" s="16"/>
      <c r="S486" s="16">
        <v>83212</v>
      </c>
      <c r="T486" s="16"/>
      <c r="U486" s="16">
        <v>24415</v>
      </c>
      <c r="V486" s="16"/>
      <c r="W486" s="16">
        <v>0</v>
      </c>
      <c r="X486" s="16"/>
      <c r="Y486" s="16">
        <v>119386</v>
      </c>
      <c r="Z486" s="16"/>
      <c r="AA486" s="16">
        <v>0</v>
      </c>
      <c r="AB486" s="16"/>
      <c r="AC486" s="16">
        <v>0</v>
      </c>
      <c r="AD486" s="16"/>
      <c r="AE486" s="16">
        <f t="shared" si="14"/>
        <v>724535</v>
      </c>
    </row>
    <row r="487" spans="1:31" ht="12.75" customHeight="1">
      <c r="A487" s="1" t="s">
        <v>634</v>
      </c>
      <c r="C487" s="1" t="s">
        <v>378</v>
      </c>
      <c r="E487" s="16">
        <v>394409</v>
      </c>
      <c r="F487" s="16"/>
      <c r="G487" s="16">
        <v>0</v>
      </c>
      <c r="H487" s="16"/>
      <c r="I487" s="16">
        <v>498668</v>
      </c>
      <c r="J487" s="16"/>
      <c r="K487" s="16">
        <v>0</v>
      </c>
      <c r="L487" s="16"/>
      <c r="M487" s="16">
        <v>0</v>
      </c>
      <c r="N487" s="16"/>
      <c r="O487" s="16">
        <v>280757</v>
      </c>
      <c r="P487" s="16"/>
      <c r="Q487" s="16">
        <v>8021</v>
      </c>
      <c r="R487" s="16"/>
      <c r="S487" s="16">
        <v>17549</v>
      </c>
      <c r="T487" s="16"/>
      <c r="U487" s="16">
        <v>0</v>
      </c>
      <c r="V487" s="16"/>
      <c r="W487" s="16">
        <v>0</v>
      </c>
      <c r="X487" s="16"/>
      <c r="Y487" s="16">
        <v>0</v>
      </c>
      <c r="Z487" s="16"/>
      <c r="AA487" s="16">
        <v>0</v>
      </c>
      <c r="AB487" s="16"/>
      <c r="AC487" s="16">
        <v>0</v>
      </c>
      <c r="AD487" s="16"/>
      <c r="AE487" s="16">
        <f t="shared" si="14"/>
        <v>1199404</v>
      </c>
    </row>
    <row r="488" spans="1:31" ht="12.75" customHeight="1">
      <c r="A488" s="1" t="s">
        <v>455</v>
      </c>
      <c r="B488" s="1"/>
      <c r="C488" s="1" t="s">
        <v>453</v>
      </c>
      <c r="E488" s="16">
        <v>8190</v>
      </c>
      <c r="F488" s="16"/>
      <c r="G488" s="16">
        <v>0</v>
      </c>
      <c r="H488" s="16"/>
      <c r="I488" s="16">
        <v>79546</v>
      </c>
      <c r="J488" s="16"/>
      <c r="K488" s="16">
        <v>0</v>
      </c>
      <c r="L488" s="16"/>
      <c r="M488" s="16">
        <v>285</v>
      </c>
      <c r="N488" s="16"/>
      <c r="O488" s="16">
        <v>460</v>
      </c>
      <c r="P488" s="16"/>
      <c r="Q488" s="16">
        <v>159</v>
      </c>
      <c r="R488" s="16"/>
      <c r="S488" s="16">
        <v>136</v>
      </c>
      <c r="T488" s="16"/>
      <c r="U488" s="16">
        <v>0</v>
      </c>
      <c r="V488" s="16"/>
      <c r="W488" s="16">
        <v>0</v>
      </c>
      <c r="X488" s="16"/>
      <c r="Y488" s="16">
        <v>0</v>
      </c>
      <c r="Z488" s="16"/>
      <c r="AA488" s="16">
        <v>0</v>
      </c>
      <c r="AB488" s="16"/>
      <c r="AC488" s="16">
        <v>0</v>
      </c>
      <c r="AD488" s="16"/>
      <c r="AE488" s="16">
        <f t="shared" si="14"/>
        <v>88776</v>
      </c>
    </row>
    <row r="489" spans="1:31" ht="12.75" customHeight="1">
      <c r="A489" s="1" t="s">
        <v>647</v>
      </c>
      <c r="C489" s="1" t="s">
        <v>372</v>
      </c>
      <c r="E489" s="16">
        <v>148330</v>
      </c>
      <c r="F489" s="16"/>
      <c r="G489" s="16">
        <v>322644</v>
      </c>
      <c r="H489" s="16"/>
      <c r="I489" s="16">
        <v>310401</v>
      </c>
      <c r="J489" s="16"/>
      <c r="K489" s="16">
        <v>0</v>
      </c>
      <c r="L489" s="16"/>
      <c r="M489" s="16">
        <v>27409</v>
      </c>
      <c r="N489" s="16"/>
      <c r="O489" s="16">
        <v>179208</v>
      </c>
      <c r="P489" s="16"/>
      <c r="Q489" s="16">
        <v>2444</v>
      </c>
      <c r="R489" s="16"/>
      <c r="S489" s="16">
        <v>36791</v>
      </c>
      <c r="T489" s="16"/>
      <c r="U489" s="16">
        <v>39935</v>
      </c>
      <c r="V489" s="16"/>
      <c r="W489" s="16">
        <v>0</v>
      </c>
      <c r="X489" s="16"/>
      <c r="Y489" s="16">
        <v>111000</v>
      </c>
      <c r="Z489" s="16"/>
      <c r="AA489" s="16">
        <v>5000</v>
      </c>
      <c r="AB489" s="16"/>
      <c r="AC489" s="16">
        <v>12000</v>
      </c>
      <c r="AD489" s="16"/>
      <c r="AE489" s="16">
        <f t="shared" si="14"/>
        <v>1195162</v>
      </c>
    </row>
    <row r="490" spans="1:31" ht="12.75" customHeight="1">
      <c r="A490" s="1" t="s">
        <v>357</v>
      </c>
      <c r="B490" s="1"/>
      <c r="C490" s="1" t="s">
        <v>131</v>
      </c>
      <c r="D490" s="16"/>
      <c r="E490" s="16">
        <v>8818</v>
      </c>
      <c r="F490" s="16"/>
      <c r="G490" s="16">
        <v>0</v>
      </c>
      <c r="H490" s="16"/>
      <c r="I490" s="16">
        <v>43894</v>
      </c>
      <c r="J490" s="16"/>
      <c r="K490" s="16">
        <v>5213</v>
      </c>
      <c r="L490" s="16"/>
      <c r="M490" s="16">
        <v>13737</v>
      </c>
      <c r="N490" s="16"/>
      <c r="O490" s="16">
        <v>12405</v>
      </c>
      <c r="P490" s="16"/>
      <c r="Q490" s="16">
        <v>135</v>
      </c>
      <c r="R490" s="16"/>
      <c r="S490" s="16">
        <v>6689</v>
      </c>
      <c r="T490" s="16"/>
      <c r="U490" s="16">
        <v>0</v>
      </c>
      <c r="V490" s="16"/>
      <c r="W490" s="16">
        <v>0</v>
      </c>
      <c r="X490" s="16"/>
      <c r="Y490" s="16">
        <v>0</v>
      </c>
      <c r="Z490" s="16"/>
      <c r="AA490" s="16">
        <v>0</v>
      </c>
      <c r="AB490" s="16"/>
      <c r="AC490" s="16">
        <v>0</v>
      </c>
      <c r="AD490" s="16"/>
      <c r="AE490" s="16">
        <f t="shared" si="14"/>
        <v>90891</v>
      </c>
    </row>
    <row r="491" spans="1:31" ht="12.75" customHeight="1">
      <c r="A491" s="1" t="s">
        <v>502</v>
      </c>
      <c r="C491" s="1" t="s">
        <v>122</v>
      </c>
      <c r="E491" s="16">
        <v>13401</v>
      </c>
      <c r="F491" s="16"/>
      <c r="G491" s="16">
        <v>0</v>
      </c>
      <c r="H491" s="16"/>
      <c r="I491" s="16">
        <v>14454</v>
      </c>
      <c r="J491" s="16"/>
      <c r="K491" s="16">
        <v>0</v>
      </c>
      <c r="L491" s="16"/>
      <c r="M491" s="16">
        <v>53850</v>
      </c>
      <c r="N491" s="16"/>
      <c r="O491" s="16">
        <v>502</v>
      </c>
      <c r="P491" s="16"/>
      <c r="Q491" s="16">
        <v>178</v>
      </c>
      <c r="R491" s="16"/>
      <c r="S491" s="16">
        <v>12520</v>
      </c>
      <c r="T491" s="16"/>
      <c r="U491" s="16">
        <v>0</v>
      </c>
      <c r="V491" s="16"/>
      <c r="W491" s="16">
        <v>0</v>
      </c>
      <c r="X491" s="16"/>
      <c r="Y491" s="16">
        <v>0</v>
      </c>
      <c r="Z491" s="16"/>
      <c r="AA491" s="16">
        <v>0</v>
      </c>
      <c r="AB491" s="16"/>
      <c r="AC491" s="16">
        <v>0</v>
      </c>
      <c r="AD491" s="16"/>
      <c r="AE491" s="16">
        <f t="shared" si="14"/>
        <v>94905</v>
      </c>
    </row>
    <row r="492" spans="1:31" ht="12.75" customHeight="1">
      <c r="A492" s="1" t="s">
        <v>137</v>
      </c>
      <c r="C492" s="1" t="s">
        <v>94</v>
      </c>
      <c r="E492" s="16">
        <v>18059</v>
      </c>
      <c r="F492" s="16"/>
      <c r="G492" s="16">
        <v>0</v>
      </c>
      <c r="H492" s="16"/>
      <c r="I492" s="16">
        <v>76052</v>
      </c>
      <c r="J492" s="16"/>
      <c r="K492" s="16">
        <v>6027</v>
      </c>
      <c r="L492" s="16"/>
      <c r="M492" s="16">
        <v>0</v>
      </c>
      <c r="N492" s="16"/>
      <c r="O492" s="16">
        <v>137831</v>
      </c>
      <c r="P492" s="16"/>
      <c r="Q492" s="16">
        <v>1149</v>
      </c>
      <c r="R492" s="16"/>
      <c r="S492" s="16">
        <v>5269</v>
      </c>
      <c r="T492" s="16"/>
      <c r="U492" s="16">
        <v>0</v>
      </c>
      <c r="V492" s="16"/>
      <c r="W492" s="16">
        <v>0</v>
      </c>
      <c r="X492" s="16"/>
      <c r="Y492" s="16">
        <v>82</v>
      </c>
      <c r="Z492" s="16"/>
      <c r="AA492" s="16">
        <v>0</v>
      </c>
      <c r="AB492" s="16"/>
      <c r="AC492" s="16">
        <v>0</v>
      </c>
      <c r="AD492" s="16"/>
      <c r="AE492" s="16">
        <f t="shared" si="14"/>
        <v>244469</v>
      </c>
    </row>
    <row r="493" spans="1:31" ht="12.75" customHeight="1">
      <c r="A493" s="1" t="s">
        <v>657</v>
      </c>
      <c r="C493" s="1" t="s">
        <v>155</v>
      </c>
      <c r="E493" s="16">
        <v>8179</v>
      </c>
      <c r="F493" s="16"/>
      <c r="G493" s="16">
        <v>0</v>
      </c>
      <c r="H493" s="16"/>
      <c r="I493" s="16">
        <v>27600</v>
      </c>
      <c r="J493" s="16"/>
      <c r="K493" s="16">
        <v>0</v>
      </c>
      <c r="L493" s="16"/>
      <c r="M493" s="16">
        <v>969</v>
      </c>
      <c r="N493" s="16"/>
      <c r="O493" s="16">
        <v>0</v>
      </c>
      <c r="P493" s="16"/>
      <c r="Q493" s="16">
        <v>299</v>
      </c>
      <c r="R493" s="16"/>
      <c r="S493" s="16">
        <v>7284</v>
      </c>
      <c r="T493" s="16"/>
      <c r="U493" s="16">
        <v>0</v>
      </c>
      <c r="V493" s="16"/>
      <c r="W493" s="16">
        <v>0</v>
      </c>
      <c r="X493" s="16"/>
      <c r="Y493" s="16">
        <v>10000</v>
      </c>
      <c r="Z493" s="16"/>
      <c r="AA493" s="16">
        <v>0</v>
      </c>
      <c r="AB493" s="16"/>
      <c r="AC493" s="16">
        <v>0</v>
      </c>
      <c r="AD493" s="16"/>
      <c r="AE493" s="16">
        <f t="shared" si="14"/>
        <v>54331</v>
      </c>
    </row>
    <row r="494" spans="1:31" ht="12.75" customHeight="1">
      <c r="A494" s="1" t="s">
        <v>470</v>
      </c>
      <c r="B494" s="1"/>
      <c r="C494" s="1" t="s">
        <v>100</v>
      </c>
      <c r="E494" s="16">
        <v>95234</v>
      </c>
      <c r="F494" s="16"/>
      <c r="G494" s="16">
        <v>149060</v>
      </c>
      <c r="H494" s="16"/>
      <c r="I494" s="16">
        <v>382749</v>
      </c>
      <c r="J494" s="16"/>
      <c r="K494" s="16">
        <v>0</v>
      </c>
      <c r="L494" s="16"/>
      <c r="M494" s="16">
        <v>84455</v>
      </c>
      <c r="N494" s="16"/>
      <c r="O494" s="16">
        <v>50606</v>
      </c>
      <c r="P494" s="16"/>
      <c r="Q494" s="16">
        <v>3873</v>
      </c>
      <c r="R494" s="16"/>
      <c r="S494" s="16">
        <v>25970</v>
      </c>
      <c r="T494" s="16"/>
      <c r="U494" s="16">
        <v>0</v>
      </c>
      <c r="V494" s="16"/>
      <c r="W494" s="16">
        <v>1828</v>
      </c>
      <c r="X494" s="16"/>
      <c r="Y494" s="16">
        <v>24000</v>
      </c>
      <c r="Z494" s="16"/>
      <c r="AA494" s="16">
        <v>0</v>
      </c>
      <c r="AB494" s="16"/>
      <c r="AC494" s="16">
        <v>0</v>
      </c>
      <c r="AD494" s="16"/>
      <c r="AE494" s="16">
        <f t="shared" si="14"/>
        <v>817775</v>
      </c>
    </row>
    <row r="495" spans="1:31" ht="12.75" customHeight="1">
      <c r="A495" s="1" t="s">
        <v>610</v>
      </c>
      <c r="C495" s="1" t="s">
        <v>164</v>
      </c>
      <c r="E495" s="16">
        <v>34314</v>
      </c>
      <c r="F495" s="16"/>
      <c r="G495" s="16">
        <v>0</v>
      </c>
      <c r="H495" s="16"/>
      <c r="I495" s="16">
        <v>70075</v>
      </c>
      <c r="J495" s="16"/>
      <c r="K495" s="16">
        <v>0</v>
      </c>
      <c r="L495" s="16"/>
      <c r="M495" s="16">
        <v>0</v>
      </c>
      <c r="N495" s="16"/>
      <c r="O495" s="16">
        <v>101255</v>
      </c>
      <c r="P495" s="16"/>
      <c r="Q495" s="16">
        <v>0</v>
      </c>
      <c r="R495" s="16"/>
      <c r="S495" s="16">
        <v>25279</v>
      </c>
      <c r="T495" s="16"/>
      <c r="U495" s="16">
        <v>0</v>
      </c>
      <c r="V495" s="16"/>
      <c r="W495" s="16">
        <v>0</v>
      </c>
      <c r="X495" s="16"/>
      <c r="Y495" s="16">
        <v>0</v>
      </c>
      <c r="Z495" s="16"/>
      <c r="AA495" s="16">
        <v>0</v>
      </c>
      <c r="AB495" s="16"/>
      <c r="AC495" s="16">
        <v>0</v>
      </c>
      <c r="AD495" s="16"/>
      <c r="AE495" s="16">
        <f aca="true" t="shared" si="15" ref="AE495:AE526">SUM(E495:AC495)</f>
        <v>230923</v>
      </c>
    </row>
    <row r="496" spans="1:31" ht="12.75" customHeight="1">
      <c r="A496" s="1" t="s">
        <v>639</v>
      </c>
      <c r="C496" s="1" t="s">
        <v>268</v>
      </c>
      <c r="E496" s="16">
        <v>91259</v>
      </c>
      <c r="F496" s="16"/>
      <c r="G496" s="16">
        <v>0</v>
      </c>
      <c r="H496" s="16"/>
      <c r="I496" s="16">
        <v>111556</v>
      </c>
      <c r="J496" s="16"/>
      <c r="K496" s="16">
        <v>0</v>
      </c>
      <c r="L496" s="16"/>
      <c r="M496" s="16">
        <v>0</v>
      </c>
      <c r="N496" s="16"/>
      <c r="O496" s="16">
        <v>7125</v>
      </c>
      <c r="P496" s="16"/>
      <c r="Q496" s="16">
        <v>14095</v>
      </c>
      <c r="R496" s="16"/>
      <c r="S496" s="16">
        <v>9487</v>
      </c>
      <c r="T496" s="16"/>
      <c r="U496" s="16">
        <v>180000</v>
      </c>
      <c r="V496" s="16"/>
      <c r="W496" s="16">
        <v>0</v>
      </c>
      <c r="X496" s="16"/>
      <c r="Y496" s="16">
        <v>99592</v>
      </c>
      <c r="Z496" s="16"/>
      <c r="AA496" s="16">
        <v>0</v>
      </c>
      <c r="AB496" s="16"/>
      <c r="AC496" s="16">
        <v>0</v>
      </c>
      <c r="AD496" s="16"/>
      <c r="AE496" s="16">
        <f t="shared" si="15"/>
        <v>513114</v>
      </c>
    </row>
    <row r="497" spans="1:31" ht="12.75" customHeight="1">
      <c r="A497" s="1" t="s">
        <v>676</v>
      </c>
      <c r="C497" s="1" t="s">
        <v>215</v>
      </c>
      <c r="E497" s="16">
        <v>434977</v>
      </c>
      <c r="F497" s="16"/>
      <c r="G497" s="16">
        <v>0</v>
      </c>
      <c r="H497" s="16"/>
      <c r="I497" s="16">
        <v>198048</v>
      </c>
      <c r="J497" s="16"/>
      <c r="K497" s="16">
        <v>18326</v>
      </c>
      <c r="L497" s="16"/>
      <c r="M497" s="16">
        <v>542607</v>
      </c>
      <c r="N497" s="16"/>
      <c r="O497" s="16">
        <v>90834</v>
      </c>
      <c r="P497" s="16"/>
      <c r="Q497" s="16">
        <v>9862</v>
      </c>
      <c r="R497" s="16"/>
      <c r="S497" s="16">
        <v>35730</v>
      </c>
      <c r="T497" s="16"/>
      <c r="U497" s="16">
        <v>0</v>
      </c>
      <c r="V497" s="16"/>
      <c r="W497" s="16">
        <v>0</v>
      </c>
      <c r="X497" s="16"/>
      <c r="Y497" s="16">
        <v>0</v>
      </c>
      <c r="Z497" s="16"/>
      <c r="AA497" s="16">
        <v>0</v>
      </c>
      <c r="AB497" s="16"/>
      <c r="AC497" s="16">
        <v>0</v>
      </c>
      <c r="AD497" s="16"/>
      <c r="AE497" s="16">
        <f t="shared" si="15"/>
        <v>1330384</v>
      </c>
    </row>
    <row r="498" spans="1:31" ht="12.75" customHeight="1">
      <c r="A498" s="1" t="s">
        <v>560</v>
      </c>
      <c r="C498" s="1" t="s">
        <v>199</v>
      </c>
      <c r="E498" s="16">
        <v>19767</v>
      </c>
      <c r="F498" s="16"/>
      <c r="G498" s="16">
        <v>0</v>
      </c>
      <c r="H498" s="16"/>
      <c r="I498" s="16">
        <v>254970</v>
      </c>
      <c r="J498" s="16"/>
      <c r="K498" s="16">
        <v>7325</v>
      </c>
      <c r="L498" s="16"/>
      <c r="M498" s="16">
        <v>27060</v>
      </c>
      <c r="N498" s="16"/>
      <c r="O498" s="16">
        <v>0</v>
      </c>
      <c r="P498" s="16"/>
      <c r="Q498" s="16">
        <v>819</v>
      </c>
      <c r="R498" s="16"/>
      <c r="S498" s="16">
        <v>28443</v>
      </c>
      <c r="T498" s="16"/>
      <c r="U498" s="16">
        <v>108938</v>
      </c>
      <c r="V498" s="16"/>
      <c r="W498" s="16">
        <v>0</v>
      </c>
      <c r="X498" s="16"/>
      <c r="Y498" s="16">
        <v>0</v>
      </c>
      <c r="Z498" s="16"/>
      <c r="AA498" s="16">
        <v>0</v>
      </c>
      <c r="AB498" s="16"/>
      <c r="AC498" s="16">
        <v>0</v>
      </c>
      <c r="AD498" s="16"/>
      <c r="AE498" s="16">
        <f t="shared" si="15"/>
        <v>447322</v>
      </c>
    </row>
    <row r="499" spans="1:31" ht="12.75" customHeight="1">
      <c r="A499" s="1" t="s">
        <v>620</v>
      </c>
      <c r="C499" s="1" t="s">
        <v>369</v>
      </c>
      <c r="E499" s="16">
        <v>65506</v>
      </c>
      <c r="F499" s="16"/>
      <c r="G499" s="16">
        <v>0</v>
      </c>
      <c r="H499" s="16"/>
      <c r="I499" s="16">
        <v>68280</v>
      </c>
      <c r="J499" s="16"/>
      <c r="K499" s="16">
        <v>0</v>
      </c>
      <c r="L499" s="16"/>
      <c r="M499" s="16">
        <v>4900</v>
      </c>
      <c r="N499" s="16"/>
      <c r="O499" s="16">
        <v>0</v>
      </c>
      <c r="P499" s="16"/>
      <c r="Q499" s="16">
        <v>4935</v>
      </c>
      <c r="R499" s="16"/>
      <c r="S499" s="16">
        <v>11688</v>
      </c>
      <c r="T499" s="16"/>
      <c r="U499" s="16">
        <v>0</v>
      </c>
      <c r="V499" s="16"/>
      <c r="W499" s="16">
        <v>0</v>
      </c>
      <c r="X499" s="16"/>
      <c r="Y499" s="16">
        <v>0</v>
      </c>
      <c r="Z499" s="16"/>
      <c r="AA499" s="16">
        <v>0</v>
      </c>
      <c r="AB499" s="16"/>
      <c r="AC499" s="16">
        <v>0</v>
      </c>
      <c r="AD499" s="16"/>
      <c r="AE499" s="16">
        <f t="shared" si="15"/>
        <v>155309</v>
      </c>
    </row>
    <row r="500" spans="1:31" ht="12.75" customHeight="1">
      <c r="A500" s="1" t="s">
        <v>648</v>
      </c>
      <c r="C500" s="1" t="s">
        <v>372</v>
      </c>
      <c r="E500" s="16">
        <v>52094</v>
      </c>
      <c r="F500" s="16"/>
      <c r="G500" s="16">
        <v>0</v>
      </c>
      <c r="H500" s="16"/>
      <c r="I500" s="16">
        <v>65069</v>
      </c>
      <c r="J500" s="16"/>
      <c r="K500" s="16">
        <v>0</v>
      </c>
      <c r="L500" s="16"/>
      <c r="M500" s="16">
        <v>53158</v>
      </c>
      <c r="N500" s="16"/>
      <c r="O500" s="16">
        <v>3092</v>
      </c>
      <c r="P500" s="16"/>
      <c r="Q500" s="16">
        <v>1551</v>
      </c>
      <c r="R500" s="16"/>
      <c r="S500" s="16">
        <v>110898</v>
      </c>
      <c r="T500" s="16"/>
      <c r="U500" s="16">
        <v>0</v>
      </c>
      <c r="V500" s="16"/>
      <c r="W500" s="16">
        <v>0</v>
      </c>
      <c r="X500" s="16"/>
      <c r="Y500" s="16">
        <v>21067</v>
      </c>
      <c r="Z500" s="16"/>
      <c r="AA500" s="16">
        <v>0</v>
      </c>
      <c r="AB500" s="16"/>
      <c r="AC500" s="16">
        <v>0</v>
      </c>
      <c r="AD500" s="16"/>
      <c r="AE500" s="16">
        <f t="shared" si="15"/>
        <v>306929</v>
      </c>
    </row>
    <row r="501" spans="1:31" ht="12.75" customHeight="1">
      <c r="A501" s="1" t="s">
        <v>358</v>
      </c>
      <c r="B501" s="1"/>
      <c r="C501" s="1" t="s">
        <v>318</v>
      </c>
      <c r="D501" s="16"/>
      <c r="E501" s="16">
        <v>15155</v>
      </c>
      <c r="F501" s="16"/>
      <c r="G501" s="16">
        <v>0</v>
      </c>
      <c r="H501" s="16"/>
      <c r="I501" s="16">
        <v>10131</v>
      </c>
      <c r="J501" s="16"/>
      <c r="K501" s="16">
        <v>0</v>
      </c>
      <c r="L501" s="16"/>
      <c r="M501" s="16">
        <f>59259+6600</f>
        <v>65859</v>
      </c>
      <c r="N501" s="16"/>
      <c r="O501" s="16">
        <v>0</v>
      </c>
      <c r="P501" s="16"/>
      <c r="Q501" s="16">
        <v>0</v>
      </c>
      <c r="R501" s="16"/>
      <c r="S501" s="16">
        <f>23411+2544</f>
        <v>25955</v>
      </c>
      <c r="T501" s="16"/>
      <c r="U501" s="16">
        <v>45712</v>
      </c>
      <c r="V501" s="16"/>
      <c r="W501" s="16">
        <v>0</v>
      </c>
      <c r="X501" s="16"/>
      <c r="Y501" s="16">
        <v>59881</v>
      </c>
      <c r="Z501" s="16"/>
      <c r="AA501" s="16">
        <v>0</v>
      </c>
      <c r="AB501" s="16"/>
      <c r="AC501" s="16">
        <v>0</v>
      </c>
      <c r="AD501" s="16"/>
      <c r="AE501" s="16">
        <f t="shared" si="15"/>
        <v>222693</v>
      </c>
    </row>
    <row r="502" spans="1:31" ht="12.75" customHeight="1">
      <c r="A502" s="1" t="s">
        <v>573</v>
      </c>
      <c r="C502" s="1" t="s">
        <v>114</v>
      </c>
      <c r="E502" s="16">
        <v>8198</v>
      </c>
      <c r="F502" s="16"/>
      <c r="G502" s="16">
        <v>0</v>
      </c>
      <c r="H502" s="16"/>
      <c r="I502" s="16">
        <v>1429676</v>
      </c>
      <c r="J502" s="16"/>
      <c r="K502" s="16">
        <v>84437</v>
      </c>
      <c r="L502" s="16"/>
      <c r="M502" s="16">
        <v>440</v>
      </c>
      <c r="N502" s="16"/>
      <c r="O502" s="16">
        <v>0</v>
      </c>
      <c r="P502" s="16"/>
      <c r="Q502" s="16">
        <v>2687</v>
      </c>
      <c r="R502" s="16"/>
      <c r="S502" s="16">
        <v>7417</v>
      </c>
      <c r="T502" s="16"/>
      <c r="U502" s="16">
        <v>0</v>
      </c>
      <c r="V502" s="16"/>
      <c r="W502" s="16">
        <v>0</v>
      </c>
      <c r="X502" s="16"/>
      <c r="Y502" s="16">
        <v>0</v>
      </c>
      <c r="Z502" s="16"/>
      <c r="AA502" s="16">
        <v>0</v>
      </c>
      <c r="AB502" s="16"/>
      <c r="AC502" s="16">
        <v>0</v>
      </c>
      <c r="AD502" s="16"/>
      <c r="AE502" s="16">
        <f t="shared" si="15"/>
        <v>1532855</v>
      </c>
    </row>
    <row r="503" spans="1:31" ht="12.75" customHeight="1">
      <c r="A503" s="1" t="s">
        <v>734</v>
      </c>
      <c r="C503" s="1" t="s">
        <v>129</v>
      </c>
      <c r="E503" s="16">
        <v>291673</v>
      </c>
      <c r="F503" s="16"/>
      <c r="G503" s="16">
        <v>1686431</v>
      </c>
      <c r="H503" s="16"/>
      <c r="I503" s="16">
        <v>394784</v>
      </c>
      <c r="J503" s="16"/>
      <c r="K503" s="16">
        <v>32372</v>
      </c>
      <c r="L503" s="16"/>
      <c r="M503" s="16">
        <v>15928</v>
      </c>
      <c r="N503" s="16"/>
      <c r="O503" s="16">
        <v>318362</v>
      </c>
      <c r="P503" s="16"/>
      <c r="Q503" s="16">
        <v>4597</v>
      </c>
      <c r="R503" s="16"/>
      <c r="S503" s="16">
        <v>12893</v>
      </c>
      <c r="T503" s="16"/>
      <c r="U503" s="16">
        <v>502782</v>
      </c>
      <c r="V503" s="16"/>
      <c r="W503" s="16">
        <v>14697</v>
      </c>
      <c r="X503" s="16"/>
      <c r="Y503" s="16">
        <v>244026</v>
      </c>
      <c r="Z503" s="16"/>
      <c r="AA503" s="16">
        <v>104094</v>
      </c>
      <c r="AB503" s="16"/>
      <c r="AC503" s="16">
        <v>229</v>
      </c>
      <c r="AD503" s="16"/>
      <c r="AE503" s="16">
        <f t="shared" si="15"/>
        <v>3622868</v>
      </c>
    </row>
    <row r="504" spans="1:31" ht="12.75" customHeight="1">
      <c r="A504" s="1" t="s">
        <v>683</v>
      </c>
      <c r="C504" s="1" t="s">
        <v>179</v>
      </c>
      <c r="E504" s="16">
        <v>198</v>
      </c>
      <c r="F504" s="16"/>
      <c r="G504" s="16">
        <v>0</v>
      </c>
      <c r="H504" s="16"/>
      <c r="I504" s="16">
        <v>6303</v>
      </c>
      <c r="J504" s="16"/>
      <c r="K504" s="16">
        <v>0</v>
      </c>
      <c r="L504" s="16"/>
      <c r="M504" s="16">
        <v>48</v>
      </c>
      <c r="N504" s="16"/>
      <c r="O504" s="16">
        <v>0</v>
      </c>
      <c r="P504" s="16"/>
      <c r="Q504" s="16">
        <v>86</v>
      </c>
      <c r="R504" s="16"/>
      <c r="S504" s="16">
        <v>250</v>
      </c>
      <c r="T504" s="16"/>
      <c r="U504" s="16">
        <v>0</v>
      </c>
      <c r="V504" s="16"/>
      <c r="W504" s="16">
        <v>0</v>
      </c>
      <c r="X504" s="16"/>
      <c r="Y504" s="16">
        <v>1500</v>
      </c>
      <c r="Z504" s="16"/>
      <c r="AA504" s="16">
        <v>0</v>
      </c>
      <c r="AB504" s="16"/>
      <c r="AC504" s="16">
        <v>0</v>
      </c>
      <c r="AD504" s="16"/>
      <c r="AE504" s="16">
        <f t="shared" si="15"/>
        <v>8385</v>
      </c>
    </row>
    <row r="505" spans="1:31" ht="12.75" customHeight="1">
      <c r="A505" s="1" t="s">
        <v>725</v>
      </c>
      <c r="C505" s="1" t="s">
        <v>118</v>
      </c>
      <c r="E505" s="16">
        <v>15058</v>
      </c>
      <c r="F505" s="16"/>
      <c r="G505" s="16">
        <v>0</v>
      </c>
      <c r="H505" s="16"/>
      <c r="I505" s="16">
        <v>105308</v>
      </c>
      <c r="J505" s="16"/>
      <c r="K505" s="16">
        <v>0</v>
      </c>
      <c r="L505" s="16"/>
      <c r="M505" s="16">
        <v>0</v>
      </c>
      <c r="N505" s="16"/>
      <c r="O505" s="16">
        <v>11694</v>
      </c>
      <c r="P505" s="16"/>
      <c r="Q505" s="16">
        <v>9941</v>
      </c>
      <c r="R505" s="16"/>
      <c r="S505" s="16">
        <v>135633</v>
      </c>
      <c r="T505" s="16"/>
      <c r="U505" s="16">
        <v>0</v>
      </c>
      <c r="V505" s="16"/>
      <c r="W505" s="16">
        <v>0</v>
      </c>
      <c r="X505" s="16"/>
      <c r="Y505" s="16">
        <v>0</v>
      </c>
      <c r="Z505" s="16"/>
      <c r="AA505" s="16">
        <v>0</v>
      </c>
      <c r="AB505" s="16"/>
      <c r="AC505" s="16">
        <v>0</v>
      </c>
      <c r="AD505" s="16"/>
      <c r="AE505" s="16">
        <f t="shared" si="15"/>
        <v>277634</v>
      </c>
    </row>
    <row r="506" spans="1:31" ht="12.75" customHeight="1">
      <c r="A506" s="1" t="s">
        <v>359</v>
      </c>
      <c r="B506" s="1"/>
      <c r="C506" s="1" t="s">
        <v>129</v>
      </c>
      <c r="D506" s="16"/>
      <c r="E506" s="16">
        <v>326182</v>
      </c>
      <c r="F506" s="16"/>
      <c r="G506" s="16">
        <v>6946358</v>
      </c>
      <c r="H506" s="16"/>
      <c r="I506" s="16">
        <f>426930+225220+304626</f>
        <v>956776</v>
      </c>
      <c r="J506" s="16"/>
      <c r="K506" s="16">
        <v>536305</v>
      </c>
      <c r="L506" s="16"/>
      <c r="M506" s="16">
        <f>697036+62948+167176</f>
        <v>927160</v>
      </c>
      <c r="N506" s="16"/>
      <c r="O506" s="16">
        <f>172141+27272+100000</f>
        <v>299413</v>
      </c>
      <c r="P506" s="16"/>
      <c r="Q506" s="16">
        <f>32605+6351+1946+69116</f>
        <v>110018</v>
      </c>
      <c r="R506" s="16"/>
      <c r="S506" s="16">
        <f>146498+6038+50000</f>
        <v>202536</v>
      </c>
      <c r="T506" s="16"/>
      <c r="U506" s="16">
        <v>446431</v>
      </c>
      <c r="V506" s="16"/>
      <c r="W506" s="16">
        <v>0</v>
      </c>
      <c r="X506" s="16"/>
      <c r="Y506" s="16">
        <v>6782000</v>
      </c>
      <c r="Z506" s="16"/>
      <c r="AA506" s="16">
        <v>0</v>
      </c>
      <c r="AB506" s="16"/>
      <c r="AC506" s="16">
        <v>0</v>
      </c>
      <c r="AD506" s="16"/>
      <c r="AE506" s="16">
        <f t="shared" si="15"/>
        <v>17533179</v>
      </c>
    </row>
    <row r="507" spans="1:31" ht="12.75" customHeight="1">
      <c r="A507" s="1" t="s">
        <v>601</v>
      </c>
      <c r="C507" s="1" t="s">
        <v>69</v>
      </c>
      <c r="E507" s="16">
        <v>38496</v>
      </c>
      <c r="F507" s="16"/>
      <c r="G507" s="16">
        <v>0</v>
      </c>
      <c r="H507" s="16"/>
      <c r="I507" s="16">
        <v>84139</v>
      </c>
      <c r="J507" s="16"/>
      <c r="K507" s="16">
        <v>0</v>
      </c>
      <c r="L507" s="16"/>
      <c r="M507" s="16">
        <v>0</v>
      </c>
      <c r="N507" s="16"/>
      <c r="O507" s="16">
        <v>138</v>
      </c>
      <c r="P507" s="16"/>
      <c r="Q507" s="16">
        <v>4252</v>
      </c>
      <c r="R507" s="16"/>
      <c r="S507" s="16">
        <v>675</v>
      </c>
      <c r="T507" s="16"/>
      <c r="U507" s="16">
        <v>0</v>
      </c>
      <c r="V507" s="16"/>
      <c r="W507" s="16">
        <v>0</v>
      </c>
      <c r="X507" s="16"/>
      <c r="Y507" s="16">
        <v>0</v>
      </c>
      <c r="Z507" s="16"/>
      <c r="AA507" s="16">
        <v>0</v>
      </c>
      <c r="AB507" s="16"/>
      <c r="AC507" s="16">
        <v>0</v>
      </c>
      <c r="AD507" s="16"/>
      <c r="AE507" s="16">
        <f t="shared" si="15"/>
        <v>127700</v>
      </c>
    </row>
    <row r="508" spans="1:31" ht="12.75" customHeight="1">
      <c r="A508" s="1" t="s">
        <v>746</v>
      </c>
      <c r="C508" s="1" t="s">
        <v>744</v>
      </c>
      <c r="E508" s="16">
        <v>210617</v>
      </c>
      <c r="F508" s="16"/>
      <c r="G508" s="16">
        <v>295344</v>
      </c>
      <c r="H508" s="16"/>
      <c r="I508" s="16">
        <v>188081</v>
      </c>
      <c r="J508" s="16"/>
      <c r="K508" s="16">
        <v>0</v>
      </c>
      <c r="L508" s="16"/>
      <c r="M508" s="16">
        <v>1553</v>
      </c>
      <c r="N508" s="16"/>
      <c r="O508" s="16">
        <v>37639</v>
      </c>
      <c r="P508" s="16"/>
      <c r="Q508" s="16">
        <v>16190</v>
      </c>
      <c r="R508" s="16"/>
      <c r="S508" s="16">
        <v>22111</v>
      </c>
      <c r="T508" s="16"/>
      <c r="U508" s="16">
        <v>0</v>
      </c>
      <c r="V508" s="16"/>
      <c r="W508" s="16">
        <v>0</v>
      </c>
      <c r="X508" s="16"/>
      <c r="Y508" s="16">
        <v>134153</v>
      </c>
      <c r="Z508" s="16"/>
      <c r="AA508" s="16">
        <v>112200</v>
      </c>
      <c r="AB508" s="16"/>
      <c r="AC508" s="16">
        <v>0</v>
      </c>
      <c r="AD508" s="16"/>
      <c r="AE508" s="16">
        <f t="shared" si="15"/>
        <v>1017888</v>
      </c>
    </row>
    <row r="509" spans="1:31" ht="12.75" customHeight="1">
      <c r="A509" s="1" t="s">
        <v>577</v>
      </c>
      <c r="C509" s="1" t="s">
        <v>65</v>
      </c>
      <c r="E509" s="16">
        <v>12293</v>
      </c>
      <c r="F509" s="16"/>
      <c r="G509" s="16">
        <v>0</v>
      </c>
      <c r="H509" s="16"/>
      <c r="I509" s="16">
        <v>23522</v>
      </c>
      <c r="J509" s="16"/>
      <c r="K509" s="16">
        <v>25053</v>
      </c>
      <c r="L509" s="16"/>
      <c r="M509" s="16">
        <v>2360</v>
      </c>
      <c r="N509" s="16"/>
      <c r="O509" s="16">
        <v>0</v>
      </c>
      <c r="P509" s="16"/>
      <c r="Q509" s="16">
        <v>1285</v>
      </c>
      <c r="R509" s="16"/>
      <c r="S509" s="16">
        <v>390</v>
      </c>
      <c r="T509" s="16"/>
      <c r="U509" s="16">
        <v>0</v>
      </c>
      <c r="V509" s="16"/>
      <c r="W509" s="16">
        <v>10500</v>
      </c>
      <c r="X509" s="16"/>
      <c r="Y509" s="16">
        <v>0</v>
      </c>
      <c r="Z509" s="16"/>
      <c r="AA509" s="16">
        <v>0</v>
      </c>
      <c r="AB509" s="16"/>
      <c r="AC509" s="16">
        <v>1273</v>
      </c>
      <c r="AD509" s="16"/>
      <c r="AE509" s="16">
        <f t="shared" si="15"/>
        <v>76676</v>
      </c>
    </row>
    <row r="510" spans="1:31" ht="12.75" customHeight="1">
      <c r="A510" s="1" t="s">
        <v>553</v>
      </c>
      <c r="C510" s="1" t="s">
        <v>210</v>
      </c>
      <c r="E510" s="16">
        <v>2334</v>
      </c>
      <c r="F510" s="16"/>
      <c r="G510" s="16">
        <v>181707</v>
      </c>
      <c r="H510" s="16"/>
      <c r="I510" s="16">
        <v>111771</v>
      </c>
      <c r="J510" s="16"/>
      <c r="K510" s="16">
        <v>0</v>
      </c>
      <c r="L510" s="16"/>
      <c r="M510" s="16">
        <v>39223</v>
      </c>
      <c r="N510" s="16"/>
      <c r="O510" s="16">
        <v>45</v>
      </c>
      <c r="P510" s="16"/>
      <c r="Q510" s="16">
        <v>3521</v>
      </c>
      <c r="R510" s="16"/>
      <c r="S510" s="16">
        <v>9269</v>
      </c>
      <c r="T510" s="16"/>
      <c r="U510" s="16">
        <v>0</v>
      </c>
      <c r="V510" s="16"/>
      <c r="W510" s="16">
        <v>0</v>
      </c>
      <c r="X510" s="16"/>
      <c r="Y510" s="16">
        <v>0</v>
      </c>
      <c r="Z510" s="16"/>
      <c r="AA510" s="16">
        <v>0</v>
      </c>
      <c r="AB510" s="16"/>
      <c r="AC510" s="16">
        <v>0</v>
      </c>
      <c r="AD510" s="16"/>
      <c r="AE510" s="16">
        <f t="shared" si="15"/>
        <v>347870</v>
      </c>
    </row>
    <row r="511" spans="1:31" ht="12.75" customHeight="1">
      <c r="A511" s="1" t="s">
        <v>360</v>
      </c>
      <c r="B511" s="1"/>
      <c r="C511" s="1" t="s">
        <v>246</v>
      </c>
      <c r="E511" s="16">
        <v>137859</v>
      </c>
      <c r="F511" s="16"/>
      <c r="G511" s="16">
        <v>272287</v>
      </c>
      <c r="H511" s="16"/>
      <c r="I511" s="16">
        <v>213090</v>
      </c>
      <c r="J511" s="16"/>
      <c r="K511" s="16">
        <v>9856</v>
      </c>
      <c r="L511" s="16"/>
      <c r="M511" s="16">
        <f>35006-12550</f>
        <v>22456</v>
      </c>
      <c r="N511" s="16"/>
      <c r="O511" s="16">
        <v>53788</v>
      </c>
      <c r="P511" s="16"/>
      <c r="Q511" s="16">
        <v>55047</v>
      </c>
      <c r="R511" s="16"/>
      <c r="S511" s="16">
        <f>80992-1589</f>
        <v>79403</v>
      </c>
      <c r="T511" s="16"/>
      <c r="U511" s="16">
        <v>0</v>
      </c>
      <c r="V511" s="16"/>
      <c r="W511" s="16">
        <v>1840</v>
      </c>
      <c r="X511" s="16"/>
      <c r="Y511" s="16">
        <v>181851</v>
      </c>
      <c r="Z511" s="16"/>
      <c r="AA511" s="16">
        <v>0</v>
      </c>
      <c r="AB511" s="16"/>
      <c r="AC511" s="16">
        <v>0</v>
      </c>
      <c r="AD511" s="16"/>
      <c r="AE511" s="16">
        <f t="shared" si="15"/>
        <v>1027477</v>
      </c>
    </row>
    <row r="512" spans="1:31" ht="12.75" customHeight="1">
      <c r="A512" s="1" t="s">
        <v>775</v>
      </c>
      <c r="C512" s="1" t="s">
        <v>94</v>
      </c>
      <c r="E512" s="16">
        <v>57466</v>
      </c>
      <c r="F512" s="16"/>
      <c r="G512" s="16">
        <v>0</v>
      </c>
      <c r="H512" s="16"/>
      <c r="I512" s="16">
        <v>58570</v>
      </c>
      <c r="J512" s="16"/>
      <c r="K512" s="16">
        <v>0</v>
      </c>
      <c r="L512" s="16"/>
      <c r="M512" s="16">
        <v>25002</v>
      </c>
      <c r="N512" s="16"/>
      <c r="O512" s="16">
        <v>43084</v>
      </c>
      <c r="P512" s="16"/>
      <c r="Q512" s="16">
        <v>5384</v>
      </c>
      <c r="R512" s="16"/>
      <c r="S512" s="16">
        <v>5359</v>
      </c>
      <c r="T512" s="16"/>
      <c r="U512" s="16">
        <v>0</v>
      </c>
      <c r="V512" s="16"/>
      <c r="W512" s="16">
        <v>0</v>
      </c>
      <c r="X512" s="16"/>
      <c r="Y512" s="16">
        <v>333</v>
      </c>
      <c r="Z512" s="16"/>
      <c r="AA512" s="16">
        <v>13840</v>
      </c>
      <c r="AB512" s="16"/>
      <c r="AC512" s="16">
        <v>1633</v>
      </c>
      <c r="AD512" s="16"/>
      <c r="AE512" s="16">
        <f t="shared" si="15"/>
        <v>210671</v>
      </c>
    </row>
    <row r="513" spans="1:31" ht="12.75" customHeight="1">
      <c r="A513" s="1" t="s">
        <v>361</v>
      </c>
      <c r="B513" s="1"/>
      <c r="C513" s="1" t="s">
        <v>149</v>
      </c>
      <c r="D513" s="16"/>
      <c r="E513" s="16">
        <v>75293</v>
      </c>
      <c r="F513" s="16"/>
      <c r="G513" s="16">
        <v>0</v>
      </c>
      <c r="H513" s="16"/>
      <c r="I513" s="16">
        <f>10851+57860</f>
        <v>68711</v>
      </c>
      <c r="J513" s="16"/>
      <c r="K513" s="16">
        <v>0</v>
      </c>
      <c r="L513" s="16"/>
      <c r="M513" s="16">
        <v>0</v>
      </c>
      <c r="N513" s="16"/>
      <c r="O513" s="16">
        <v>3071</v>
      </c>
      <c r="P513" s="16"/>
      <c r="Q513" s="16">
        <f>11869+1031</f>
        <v>12900</v>
      </c>
      <c r="R513" s="16"/>
      <c r="S513" s="16">
        <v>0</v>
      </c>
      <c r="T513" s="16"/>
      <c r="U513" s="16">
        <v>0</v>
      </c>
      <c r="V513" s="16"/>
      <c r="W513" s="16">
        <v>0</v>
      </c>
      <c r="X513" s="16"/>
      <c r="Y513" s="16">
        <v>0</v>
      </c>
      <c r="Z513" s="16"/>
      <c r="AA513" s="16">
        <v>0</v>
      </c>
      <c r="AB513" s="16"/>
      <c r="AC513" s="16">
        <v>8252</v>
      </c>
      <c r="AD513" s="16"/>
      <c r="AE513" s="16">
        <f t="shared" si="15"/>
        <v>168227</v>
      </c>
    </row>
    <row r="514" spans="1:31" ht="12.75" customHeight="1">
      <c r="A514" s="1" t="s">
        <v>362</v>
      </c>
      <c r="B514" s="1"/>
      <c r="C514" s="30" t="s">
        <v>76</v>
      </c>
      <c r="E514" s="16">
        <v>94920</v>
      </c>
      <c r="F514" s="16"/>
      <c r="G514" s="16">
        <v>0</v>
      </c>
      <c r="H514" s="16"/>
      <c r="I514" s="16">
        <v>107365</v>
      </c>
      <c r="J514" s="16"/>
      <c r="K514" s="16">
        <v>0</v>
      </c>
      <c r="L514" s="16"/>
      <c r="M514" s="16">
        <v>0</v>
      </c>
      <c r="N514" s="16"/>
      <c r="O514" s="16">
        <v>15491</v>
      </c>
      <c r="P514" s="16"/>
      <c r="Q514" s="16">
        <v>12614</v>
      </c>
      <c r="R514" s="16"/>
      <c r="S514" s="16">
        <v>67834</v>
      </c>
      <c r="T514" s="16"/>
      <c r="U514" s="16">
        <v>275678</v>
      </c>
      <c r="V514" s="16"/>
      <c r="W514" s="16">
        <v>1000</v>
      </c>
      <c r="X514" s="16"/>
      <c r="Y514" s="16">
        <v>33391</v>
      </c>
      <c r="Z514" s="16"/>
      <c r="AA514" s="16">
        <v>0</v>
      </c>
      <c r="AB514" s="16"/>
      <c r="AC514" s="16">
        <v>30251</v>
      </c>
      <c r="AD514" s="16"/>
      <c r="AE514" s="16">
        <f t="shared" si="15"/>
        <v>638544</v>
      </c>
    </row>
    <row r="515" spans="1:31" ht="12.75" customHeight="1">
      <c r="A515" s="1" t="s">
        <v>625</v>
      </c>
      <c r="C515" s="1" t="s">
        <v>228</v>
      </c>
      <c r="E515" s="16">
        <v>9824</v>
      </c>
      <c r="F515" s="16"/>
      <c r="G515" s="16">
        <v>0</v>
      </c>
      <c r="H515" s="16"/>
      <c r="I515" s="16">
        <v>23824</v>
      </c>
      <c r="J515" s="16"/>
      <c r="K515" s="16">
        <v>0</v>
      </c>
      <c r="L515" s="16"/>
      <c r="M515" s="16">
        <v>1310</v>
      </c>
      <c r="N515" s="16"/>
      <c r="O515" s="16">
        <v>150</v>
      </c>
      <c r="P515" s="16"/>
      <c r="Q515" s="16">
        <v>2310</v>
      </c>
      <c r="R515" s="16"/>
      <c r="S515" s="16">
        <v>0</v>
      </c>
      <c r="T515" s="16"/>
      <c r="U515" s="16">
        <v>0</v>
      </c>
      <c r="V515" s="16"/>
      <c r="W515" s="16">
        <v>0</v>
      </c>
      <c r="X515" s="16"/>
      <c r="Y515" s="16">
        <v>0</v>
      </c>
      <c r="Z515" s="16"/>
      <c r="AA515" s="16">
        <v>0</v>
      </c>
      <c r="AB515" s="16"/>
      <c r="AC515" s="16">
        <v>336</v>
      </c>
      <c r="AD515" s="16"/>
      <c r="AE515" s="16">
        <f t="shared" si="15"/>
        <v>37754</v>
      </c>
    </row>
    <row r="516" spans="1:31" ht="12.75" customHeight="1">
      <c r="A516" s="1" t="s">
        <v>363</v>
      </c>
      <c r="B516" s="1"/>
      <c r="C516" s="30" t="s">
        <v>76</v>
      </c>
      <c r="E516" s="16">
        <v>125966</v>
      </c>
      <c r="F516" s="16"/>
      <c r="G516" s="16">
        <v>0</v>
      </c>
      <c r="H516" s="16"/>
      <c r="I516" s="16">
        <v>71565</v>
      </c>
      <c r="J516" s="16"/>
      <c r="K516" s="16">
        <v>56809</v>
      </c>
      <c r="L516" s="16"/>
      <c r="M516" s="16">
        <v>0</v>
      </c>
      <c r="N516" s="16"/>
      <c r="O516" s="16">
        <v>20</v>
      </c>
      <c r="P516" s="16"/>
      <c r="Q516" s="16">
        <v>4574</v>
      </c>
      <c r="R516" s="16"/>
      <c r="S516" s="16">
        <v>2829</v>
      </c>
      <c r="T516" s="16"/>
      <c r="U516" s="16">
        <v>0</v>
      </c>
      <c r="V516" s="16"/>
      <c r="W516" s="16">
        <v>0</v>
      </c>
      <c r="X516" s="16"/>
      <c r="Y516" s="16">
        <v>52777</v>
      </c>
      <c r="Z516" s="16"/>
      <c r="AA516" s="16">
        <v>0</v>
      </c>
      <c r="AB516" s="16"/>
      <c r="AC516" s="16">
        <v>0</v>
      </c>
      <c r="AD516" s="16"/>
      <c r="AE516" s="16">
        <f t="shared" si="15"/>
        <v>314540</v>
      </c>
    </row>
    <row r="517" spans="1:31" ht="12.75" customHeight="1">
      <c r="A517" s="1" t="s">
        <v>364</v>
      </c>
      <c r="B517" s="1"/>
      <c r="C517" s="1" t="s">
        <v>167</v>
      </c>
      <c r="D517" s="16"/>
      <c r="E517" s="16">
        <v>248941</v>
      </c>
      <c r="F517" s="16"/>
      <c r="G517" s="16">
        <v>0</v>
      </c>
      <c r="H517" s="16"/>
      <c r="I517" s="16">
        <v>100280</v>
      </c>
      <c r="J517" s="16"/>
      <c r="K517" s="16">
        <v>0</v>
      </c>
      <c r="L517" s="16"/>
      <c r="M517" s="16">
        <v>15285</v>
      </c>
      <c r="N517" s="16"/>
      <c r="O517" s="16">
        <v>22100</v>
      </c>
      <c r="P517" s="16"/>
      <c r="Q517" s="16">
        <v>0</v>
      </c>
      <c r="R517" s="16"/>
      <c r="S517" s="16">
        <v>30546</v>
      </c>
      <c r="T517" s="16"/>
      <c r="U517" s="16">
        <v>160000</v>
      </c>
      <c r="V517" s="16"/>
      <c r="W517" s="16">
        <v>0</v>
      </c>
      <c r="X517" s="16"/>
      <c r="Y517" s="16">
        <v>2800</v>
      </c>
      <c r="Z517" s="16"/>
      <c r="AA517" s="16">
        <v>0</v>
      </c>
      <c r="AB517" s="16"/>
      <c r="AC517" s="16">
        <v>0</v>
      </c>
      <c r="AD517" s="16"/>
      <c r="AE517" s="16">
        <f t="shared" si="15"/>
        <v>579952</v>
      </c>
    </row>
    <row r="518" spans="1:31" ht="12.75" customHeight="1">
      <c r="A518" s="1" t="s">
        <v>508</v>
      </c>
      <c r="C518" s="1" t="s">
        <v>414</v>
      </c>
      <c r="E518" s="16">
        <v>10589</v>
      </c>
      <c r="F518" s="16"/>
      <c r="G518" s="16">
        <v>0</v>
      </c>
      <c r="H518" s="16"/>
      <c r="I518" s="16">
        <v>32572</v>
      </c>
      <c r="J518" s="16"/>
      <c r="K518" s="16">
        <v>4799</v>
      </c>
      <c r="L518" s="16"/>
      <c r="M518" s="16">
        <v>60</v>
      </c>
      <c r="N518" s="16"/>
      <c r="O518" s="16">
        <v>10403</v>
      </c>
      <c r="P518" s="16"/>
      <c r="Q518" s="16">
        <v>238</v>
      </c>
      <c r="R518" s="16"/>
      <c r="S518" s="16">
        <v>7375</v>
      </c>
      <c r="T518" s="16"/>
      <c r="U518" s="16">
        <v>0</v>
      </c>
      <c r="V518" s="16"/>
      <c r="W518" s="16">
        <v>0</v>
      </c>
      <c r="X518" s="16"/>
      <c r="Y518" s="16">
        <v>0</v>
      </c>
      <c r="Z518" s="16"/>
      <c r="AA518" s="16">
        <v>68533</v>
      </c>
      <c r="AB518" s="16"/>
      <c r="AC518" s="16">
        <v>4667</v>
      </c>
      <c r="AD518" s="16"/>
      <c r="AE518" s="16">
        <f t="shared" si="15"/>
        <v>139236</v>
      </c>
    </row>
    <row r="519" spans="1:31" ht="12.75" customHeight="1">
      <c r="A519" s="1" t="s">
        <v>365</v>
      </c>
      <c r="B519" s="1"/>
      <c r="C519" s="1" t="s">
        <v>67</v>
      </c>
      <c r="D519" s="16"/>
      <c r="E519" s="16">
        <v>83241</v>
      </c>
      <c r="F519" s="16"/>
      <c r="G519" s="16">
        <v>0</v>
      </c>
      <c r="H519" s="16"/>
      <c r="I519" s="16">
        <v>156358</v>
      </c>
      <c r="J519" s="16"/>
      <c r="K519" s="16">
        <v>0</v>
      </c>
      <c r="L519" s="16"/>
      <c r="M519" s="16">
        <v>158546</v>
      </c>
      <c r="N519" s="16"/>
      <c r="O519" s="16">
        <v>15334</v>
      </c>
      <c r="P519" s="16"/>
      <c r="Q519" s="16">
        <v>43762</v>
      </c>
      <c r="R519" s="16"/>
      <c r="S519" s="16">
        <v>0</v>
      </c>
      <c r="T519" s="16"/>
      <c r="U519" s="16">
        <v>0</v>
      </c>
      <c r="V519" s="16"/>
      <c r="W519" s="16">
        <v>0</v>
      </c>
      <c r="X519" s="16"/>
      <c r="Y519" s="16">
        <v>44378</v>
      </c>
      <c r="Z519" s="16"/>
      <c r="AA519" s="16">
        <v>0</v>
      </c>
      <c r="AB519" s="16"/>
      <c r="AC519" s="16">
        <v>0</v>
      </c>
      <c r="AD519" s="16"/>
      <c r="AE519" s="16">
        <f t="shared" si="15"/>
        <v>501619</v>
      </c>
    </row>
    <row r="520" spans="1:31" ht="12.75" customHeight="1">
      <c r="A520" s="1" t="s">
        <v>366</v>
      </c>
      <c r="B520" s="1"/>
      <c r="C520" s="1" t="s">
        <v>78</v>
      </c>
      <c r="D520" s="16"/>
      <c r="E520" s="16">
        <f>9141</f>
        <v>9141</v>
      </c>
      <c r="F520" s="16"/>
      <c r="G520" s="16">
        <v>0</v>
      </c>
      <c r="H520" s="16"/>
      <c r="I520" s="16">
        <f>36792+12622</f>
        <v>49414</v>
      </c>
      <c r="J520" s="16"/>
      <c r="K520" s="16">
        <v>0</v>
      </c>
      <c r="L520" s="16"/>
      <c r="M520" s="16">
        <v>0</v>
      </c>
      <c r="N520" s="16"/>
      <c r="O520" s="16">
        <v>0</v>
      </c>
      <c r="P520" s="16"/>
      <c r="Q520" s="16">
        <f>256+188</f>
        <v>444</v>
      </c>
      <c r="R520" s="16"/>
      <c r="S520" s="16">
        <v>5</v>
      </c>
      <c r="T520" s="16"/>
      <c r="U520" s="16">
        <v>20000</v>
      </c>
      <c r="V520" s="16"/>
      <c r="W520" s="16">
        <v>0</v>
      </c>
      <c r="X520" s="16"/>
      <c r="Y520" s="16">
        <v>0</v>
      </c>
      <c r="Z520" s="16"/>
      <c r="AA520" s="16">
        <v>0</v>
      </c>
      <c r="AB520" s="16"/>
      <c r="AC520" s="16">
        <v>0</v>
      </c>
      <c r="AD520" s="16"/>
      <c r="AE520" s="16">
        <f t="shared" si="15"/>
        <v>79004</v>
      </c>
    </row>
    <row r="521" spans="1:31" ht="12.75" customHeight="1">
      <c r="A521" s="1" t="s">
        <v>367</v>
      </c>
      <c r="B521" s="1"/>
      <c r="C521" s="1" t="s">
        <v>96</v>
      </c>
      <c r="D521" s="16"/>
      <c r="E521" s="16">
        <v>19389</v>
      </c>
      <c r="F521" s="16"/>
      <c r="G521" s="16">
        <v>21405</v>
      </c>
      <c r="H521" s="16"/>
      <c r="I521" s="16">
        <v>14735</v>
      </c>
      <c r="J521" s="16"/>
      <c r="K521" s="16">
        <v>0</v>
      </c>
      <c r="L521" s="16"/>
      <c r="M521" s="16">
        <v>350</v>
      </c>
      <c r="N521" s="16"/>
      <c r="O521" s="16">
        <v>395</v>
      </c>
      <c r="P521" s="16"/>
      <c r="Q521" s="16">
        <v>251</v>
      </c>
      <c r="R521" s="16"/>
      <c r="S521" s="16">
        <v>1063974</v>
      </c>
      <c r="T521" s="16"/>
      <c r="U521" s="16">
        <v>0</v>
      </c>
      <c r="V521" s="16"/>
      <c r="W521" s="16">
        <v>0</v>
      </c>
      <c r="X521" s="16"/>
      <c r="Y521" s="16">
        <v>0</v>
      </c>
      <c r="Z521" s="16"/>
      <c r="AA521" s="16">
        <v>0</v>
      </c>
      <c r="AB521" s="16"/>
      <c r="AC521" s="16">
        <v>0</v>
      </c>
      <c r="AD521" s="16"/>
      <c r="AE521" s="16">
        <f t="shared" si="15"/>
        <v>1120499</v>
      </c>
    </row>
    <row r="522" spans="1:31" ht="12.75" customHeight="1">
      <c r="A522" s="1" t="s">
        <v>621</v>
      </c>
      <c r="C522" s="1" t="s">
        <v>369</v>
      </c>
      <c r="E522" s="16">
        <v>66388</v>
      </c>
      <c r="F522" s="16"/>
      <c r="G522" s="16">
        <v>0</v>
      </c>
      <c r="H522" s="16"/>
      <c r="I522" s="16">
        <v>99390</v>
      </c>
      <c r="J522" s="16"/>
      <c r="K522" s="16">
        <v>0</v>
      </c>
      <c r="L522" s="16"/>
      <c r="M522" s="16">
        <v>0</v>
      </c>
      <c r="N522" s="16"/>
      <c r="O522" s="16">
        <v>2330</v>
      </c>
      <c r="P522" s="16"/>
      <c r="Q522" s="16">
        <v>2368</v>
      </c>
      <c r="R522" s="16"/>
      <c r="S522" s="16">
        <v>6550</v>
      </c>
      <c r="T522" s="16"/>
      <c r="U522" s="16">
        <v>0</v>
      </c>
      <c r="V522" s="16"/>
      <c r="W522" s="16">
        <v>0</v>
      </c>
      <c r="X522" s="16"/>
      <c r="Y522" s="16">
        <v>0</v>
      </c>
      <c r="Z522" s="16"/>
      <c r="AA522" s="16">
        <v>0</v>
      </c>
      <c r="AB522" s="16"/>
      <c r="AC522" s="16">
        <v>0</v>
      </c>
      <c r="AD522" s="16"/>
      <c r="AE522" s="16">
        <f t="shared" si="15"/>
        <v>177026</v>
      </c>
    </row>
    <row r="523" spans="1:31" ht="12.75" customHeight="1">
      <c r="A523" s="1" t="s">
        <v>534</v>
      </c>
      <c r="C523" s="1" t="s">
        <v>98</v>
      </c>
      <c r="E523" s="16">
        <v>9925</v>
      </c>
      <c r="F523" s="16"/>
      <c r="G523" s="16">
        <v>0</v>
      </c>
      <c r="H523" s="16"/>
      <c r="I523" s="16">
        <v>170587</v>
      </c>
      <c r="J523" s="16"/>
      <c r="K523" s="16">
        <v>0</v>
      </c>
      <c r="L523" s="16"/>
      <c r="M523" s="16">
        <v>0</v>
      </c>
      <c r="N523" s="16"/>
      <c r="O523" s="16">
        <v>687</v>
      </c>
      <c r="P523" s="16"/>
      <c r="Q523" s="16">
        <v>596</v>
      </c>
      <c r="R523" s="16"/>
      <c r="S523" s="16">
        <v>1800</v>
      </c>
      <c r="T523" s="16"/>
      <c r="U523" s="16">
        <v>0</v>
      </c>
      <c r="V523" s="16"/>
      <c r="W523" s="16">
        <v>0</v>
      </c>
      <c r="X523" s="16"/>
      <c r="Y523" s="16">
        <v>4129</v>
      </c>
      <c r="Z523" s="16"/>
      <c r="AA523" s="16">
        <v>655</v>
      </c>
      <c r="AB523" s="16"/>
      <c r="AC523" s="16">
        <v>9399</v>
      </c>
      <c r="AD523" s="16"/>
      <c r="AE523" s="16">
        <f t="shared" si="15"/>
        <v>197778</v>
      </c>
    </row>
    <row r="524" spans="1:31" ht="12.75" customHeight="1">
      <c r="A524" s="16" t="s">
        <v>368</v>
      </c>
      <c r="B524" s="16"/>
      <c r="C524" s="16" t="s">
        <v>369</v>
      </c>
      <c r="D524" s="16"/>
      <c r="E524" s="16">
        <f>123453+69404</f>
        <v>192857</v>
      </c>
      <c r="F524" s="16"/>
      <c r="G524" s="16">
        <v>0</v>
      </c>
      <c r="H524" s="16"/>
      <c r="I524" s="16">
        <f>58434+68184</f>
        <v>126618</v>
      </c>
      <c r="J524" s="16"/>
      <c r="K524" s="16">
        <v>17926</v>
      </c>
      <c r="L524" s="16"/>
      <c r="M524" s="16">
        <f>7779+230</f>
        <v>8009</v>
      </c>
      <c r="N524" s="16"/>
      <c r="O524" s="16">
        <f>17827+355</f>
        <v>18182</v>
      </c>
      <c r="P524" s="16"/>
      <c r="Q524" s="16">
        <f>384+99</f>
        <v>483</v>
      </c>
      <c r="R524" s="16"/>
      <c r="S524" s="16">
        <f>11927+6402</f>
        <v>18329</v>
      </c>
      <c r="T524" s="16"/>
      <c r="U524" s="16">
        <v>0</v>
      </c>
      <c r="V524" s="16"/>
      <c r="W524" s="16">
        <v>0</v>
      </c>
      <c r="X524" s="16"/>
      <c r="Y524" s="16">
        <v>0</v>
      </c>
      <c r="Z524" s="16"/>
      <c r="AA524" s="16">
        <v>0</v>
      </c>
      <c r="AB524" s="16"/>
      <c r="AC524" s="16">
        <v>0</v>
      </c>
      <c r="AD524" s="16"/>
      <c r="AE524" s="16">
        <f t="shared" si="15"/>
        <v>382404</v>
      </c>
    </row>
    <row r="525" spans="1:31" s="16" customFormat="1" ht="12.75" customHeight="1">
      <c r="A525" s="1" t="s">
        <v>370</v>
      </c>
      <c r="B525" s="1"/>
      <c r="C525" s="1" t="s">
        <v>131</v>
      </c>
      <c r="E525" s="16">
        <v>19388</v>
      </c>
      <c r="G525" s="16">
        <f>87370+264229</f>
        <v>351599</v>
      </c>
      <c r="I525" s="16">
        <f>36021+24746</f>
        <v>60767</v>
      </c>
      <c r="K525" s="16">
        <f>14031+8676</f>
        <v>22707</v>
      </c>
      <c r="M525" s="16">
        <v>0</v>
      </c>
      <c r="O525" s="16">
        <v>3142</v>
      </c>
      <c r="Q525" s="16">
        <v>1128</v>
      </c>
      <c r="S525" s="16">
        <f>6582+4400+19766</f>
        <v>30748</v>
      </c>
      <c r="U525" s="16">
        <v>0</v>
      </c>
      <c r="W525" s="16">
        <v>0</v>
      </c>
      <c r="Y525" s="16">
        <v>0</v>
      </c>
      <c r="AA525" s="16">
        <v>0</v>
      </c>
      <c r="AC525" s="16">
        <v>0</v>
      </c>
      <c r="AE525" s="16">
        <f t="shared" si="15"/>
        <v>489479</v>
      </c>
    </row>
    <row r="526" spans="1:31" ht="12.75" customHeight="1">
      <c r="A526" s="1" t="s">
        <v>371</v>
      </c>
      <c r="B526" s="1"/>
      <c r="C526" s="1" t="s">
        <v>372</v>
      </c>
      <c r="D526" s="16"/>
      <c r="E526" s="16">
        <v>14045</v>
      </c>
      <c r="F526" s="16"/>
      <c r="G526" s="16">
        <v>0</v>
      </c>
      <c r="H526" s="16"/>
      <c r="I526" s="16">
        <v>67792</v>
      </c>
      <c r="J526" s="16"/>
      <c r="K526" s="16">
        <v>0</v>
      </c>
      <c r="L526" s="16"/>
      <c r="M526" s="16">
        <v>0</v>
      </c>
      <c r="N526" s="16"/>
      <c r="O526" s="16">
        <v>16726</v>
      </c>
      <c r="P526" s="16"/>
      <c r="Q526" s="16">
        <v>84</v>
      </c>
      <c r="R526" s="16"/>
      <c r="S526" s="16">
        <v>5782</v>
      </c>
      <c r="T526" s="16"/>
      <c r="U526" s="16">
        <v>9800</v>
      </c>
      <c r="V526" s="16"/>
      <c r="W526" s="16">
        <v>0</v>
      </c>
      <c r="X526" s="16"/>
      <c r="Y526" s="16">
        <v>0</v>
      </c>
      <c r="Z526" s="16"/>
      <c r="AA526" s="16">
        <v>0</v>
      </c>
      <c r="AB526" s="16"/>
      <c r="AC526" s="16">
        <v>0</v>
      </c>
      <c r="AD526" s="16"/>
      <c r="AE526" s="16">
        <f t="shared" si="15"/>
        <v>114229</v>
      </c>
    </row>
    <row r="527" spans="1:31" ht="12.75" customHeight="1">
      <c r="A527" s="1" t="s">
        <v>784</v>
      </c>
      <c r="B527" s="1"/>
      <c r="E527" s="1"/>
      <c r="F527" s="1"/>
      <c r="G527" s="1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20"/>
      <c r="AC527" s="16"/>
      <c r="AD527" s="20"/>
      <c r="AE527" s="32" t="s">
        <v>785</v>
      </c>
    </row>
    <row r="528" spans="1:31" s="36" customFormat="1" ht="12.75" customHeight="1">
      <c r="A528" s="36" t="s">
        <v>503</v>
      </c>
      <c r="B528" s="42"/>
      <c r="C528" s="36" t="s">
        <v>122</v>
      </c>
      <c r="E528" s="36">
        <v>130296</v>
      </c>
      <c r="G528" s="36">
        <v>0</v>
      </c>
      <c r="I528" s="36">
        <v>214475</v>
      </c>
      <c r="K528" s="36">
        <v>0</v>
      </c>
      <c r="M528" s="36">
        <v>0</v>
      </c>
      <c r="O528" s="36">
        <v>15779</v>
      </c>
      <c r="Q528" s="36">
        <v>13585</v>
      </c>
      <c r="S528" s="36">
        <v>18709</v>
      </c>
      <c r="U528" s="36">
        <v>0</v>
      </c>
      <c r="W528" s="36">
        <v>0</v>
      </c>
      <c r="Y528" s="36">
        <v>90718</v>
      </c>
      <c r="AA528" s="36">
        <v>0</v>
      </c>
      <c r="AC528" s="36">
        <v>23420</v>
      </c>
      <c r="AE528" s="36">
        <f aca="true" t="shared" si="16" ref="AE528:AE559">SUM(E528:AC528)</f>
        <v>506982</v>
      </c>
    </row>
    <row r="529" spans="1:31" ht="12.75" customHeight="1">
      <c r="A529" s="1" t="s">
        <v>653</v>
      </c>
      <c r="C529" s="1" t="s">
        <v>167</v>
      </c>
      <c r="E529" s="16">
        <v>81904</v>
      </c>
      <c r="F529" s="16"/>
      <c r="G529" s="16">
        <v>558803</v>
      </c>
      <c r="H529" s="16"/>
      <c r="I529" s="16">
        <v>195096</v>
      </c>
      <c r="J529" s="16"/>
      <c r="K529" s="16">
        <v>10747</v>
      </c>
      <c r="L529" s="16"/>
      <c r="M529" s="16">
        <v>37712</v>
      </c>
      <c r="N529" s="16"/>
      <c r="O529" s="16">
        <v>1304</v>
      </c>
      <c r="P529" s="16"/>
      <c r="Q529" s="16">
        <v>4783</v>
      </c>
      <c r="R529" s="16"/>
      <c r="S529" s="16">
        <v>0</v>
      </c>
      <c r="T529" s="16"/>
      <c r="U529" s="16">
        <v>0</v>
      </c>
      <c r="V529" s="16"/>
      <c r="W529" s="16">
        <v>25139</v>
      </c>
      <c r="X529" s="16"/>
      <c r="Y529" s="16">
        <v>180000</v>
      </c>
      <c r="Z529" s="16"/>
      <c r="AA529" s="16">
        <v>0</v>
      </c>
      <c r="AB529" s="16"/>
      <c r="AC529" s="16">
        <v>0</v>
      </c>
      <c r="AD529" s="16"/>
      <c r="AE529" s="16">
        <f t="shared" si="16"/>
        <v>1095488</v>
      </c>
    </row>
    <row r="530" spans="1:31" ht="12.75" customHeight="1">
      <c r="A530" s="1" t="s">
        <v>561</v>
      </c>
      <c r="C530" s="1" t="s">
        <v>199</v>
      </c>
      <c r="E530" s="16">
        <v>5772</v>
      </c>
      <c r="F530" s="16"/>
      <c r="G530" s="16">
        <v>0</v>
      </c>
      <c r="H530" s="16"/>
      <c r="I530" s="16">
        <v>24042</v>
      </c>
      <c r="J530" s="16"/>
      <c r="K530" s="16">
        <v>0</v>
      </c>
      <c r="L530" s="16"/>
      <c r="M530" s="16">
        <v>0</v>
      </c>
      <c r="N530" s="16"/>
      <c r="O530" s="16">
        <v>0</v>
      </c>
      <c r="P530" s="16"/>
      <c r="Q530" s="16">
        <v>113</v>
      </c>
      <c r="R530" s="16"/>
      <c r="S530" s="16">
        <v>150</v>
      </c>
      <c r="T530" s="16"/>
      <c r="U530" s="16">
        <v>0</v>
      </c>
      <c r="V530" s="16"/>
      <c r="W530" s="16">
        <v>0</v>
      </c>
      <c r="X530" s="16"/>
      <c r="Y530" s="16">
        <v>0</v>
      </c>
      <c r="Z530" s="16"/>
      <c r="AA530" s="16">
        <v>0</v>
      </c>
      <c r="AB530" s="16"/>
      <c r="AC530" s="16">
        <v>0</v>
      </c>
      <c r="AD530" s="16"/>
      <c r="AE530" s="16">
        <f t="shared" si="16"/>
        <v>30077</v>
      </c>
    </row>
    <row r="531" spans="1:31" ht="12.75" customHeight="1">
      <c r="A531" s="1" t="s">
        <v>509</v>
      </c>
      <c r="C531" s="1" t="s">
        <v>414</v>
      </c>
      <c r="E531" s="16">
        <v>88144</v>
      </c>
      <c r="F531" s="16"/>
      <c r="G531" s="16">
        <v>159577</v>
      </c>
      <c r="H531" s="16"/>
      <c r="I531" s="16">
        <v>369419</v>
      </c>
      <c r="J531" s="16"/>
      <c r="K531" s="16">
        <v>0</v>
      </c>
      <c r="L531" s="16"/>
      <c r="M531" s="16">
        <v>16418</v>
      </c>
      <c r="N531" s="16"/>
      <c r="O531" s="16">
        <v>19714</v>
      </c>
      <c r="P531" s="16"/>
      <c r="Q531" s="16">
        <v>6400</v>
      </c>
      <c r="R531" s="16"/>
      <c r="S531" s="16">
        <v>1004</v>
      </c>
      <c r="T531" s="16"/>
      <c r="U531" s="16">
        <v>0</v>
      </c>
      <c r="V531" s="16"/>
      <c r="W531" s="16">
        <v>0</v>
      </c>
      <c r="X531" s="16"/>
      <c r="Y531" s="16">
        <v>7193</v>
      </c>
      <c r="Z531" s="16"/>
      <c r="AA531" s="16">
        <v>0</v>
      </c>
      <c r="AB531" s="16"/>
      <c r="AC531" s="16">
        <v>0</v>
      </c>
      <c r="AD531" s="16"/>
      <c r="AE531" s="16">
        <f t="shared" si="16"/>
        <v>667869</v>
      </c>
    </row>
    <row r="532" spans="1:31" ht="12.75" customHeight="1">
      <c r="A532" s="1" t="s">
        <v>373</v>
      </c>
      <c r="B532" s="1"/>
      <c r="C532" s="30" t="s">
        <v>437</v>
      </c>
      <c r="D532" s="16"/>
      <c r="E532" s="16">
        <v>1682</v>
      </c>
      <c r="F532" s="16"/>
      <c r="G532" s="16">
        <v>0</v>
      </c>
      <c r="H532" s="16"/>
      <c r="I532" s="16">
        <v>21784</v>
      </c>
      <c r="J532" s="16"/>
      <c r="K532" s="16">
        <v>0</v>
      </c>
      <c r="L532" s="16"/>
      <c r="M532" s="16">
        <v>0</v>
      </c>
      <c r="N532" s="16"/>
      <c r="O532" s="16">
        <v>0</v>
      </c>
      <c r="P532" s="16"/>
      <c r="Q532" s="16">
        <v>56</v>
      </c>
      <c r="R532" s="16"/>
      <c r="S532" s="16">
        <v>0</v>
      </c>
      <c r="T532" s="16"/>
      <c r="U532" s="16">
        <v>0</v>
      </c>
      <c r="V532" s="16"/>
      <c r="W532" s="16">
        <v>0</v>
      </c>
      <c r="X532" s="16"/>
      <c r="Y532" s="16">
        <v>0</v>
      </c>
      <c r="Z532" s="16"/>
      <c r="AA532" s="16">
        <v>0</v>
      </c>
      <c r="AB532" s="16"/>
      <c r="AC532" s="16">
        <v>0</v>
      </c>
      <c r="AD532" s="16"/>
      <c r="AE532" s="16">
        <f t="shared" si="16"/>
        <v>23522</v>
      </c>
    </row>
    <row r="533" spans="1:31" ht="12.75" customHeight="1">
      <c r="A533" s="1" t="s">
        <v>477</v>
      </c>
      <c r="C533" s="1" t="s">
        <v>246</v>
      </c>
      <c r="E533" s="16">
        <v>91528</v>
      </c>
      <c r="F533" s="16"/>
      <c r="G533" s="16">
        <v>72048</v>
      </c>
      <c r="H533" s="16"/>
      <c r="I533" s="16">
        <v>66051</v>
      </c>
      <c r="J533" s="16"/>
      <c r="K533" s="16">
        <v>0</v>
      </c>
      <c r="L533" s="16"/>
      <c r="M533" s="16">
        <v>66685</v>
      </c>
      <c r="N533" s="16"/>
      <c r="O533" s="16">
        <v>11951</v>
      </c>
      <c r="P533" s="16"/>
      <c r="Q533" s="16">
        <v>696</v>
      </c>
      <c r="R533" s="16"/>
      <c r="S533" s="16">
        <v>27755</v>
      </c>
      <c r="T533" s="16"/>
      <c r="U533" s="16">
        <v>153000</v>
      </c>
      <c r="V533" s="16"/>
      <c r="W533" s="16">
        <v>0</v>
      </c>
      <c r="X533" s="16"/>
      <c r="Y533" s="16">
        <v>99200</v>
      </c>
      <c r="Z533" s="16"/>
      <c r="AA533" s="16">
        <v>0</v>
      </c>
      <c r="AB533" s="16"/>
      <c r="AC533" s="16">
        <v>0</v>
      </c>
      <c r="AD533" s="16"/>
      <c r="AE533" s="16">
        <f t="shared" si="16"/>
        <v>588914</v>
      </c>
    </row>
    <row r="534" spans="1:31" ht="12.75" customHeight="1">
      <c r="A534" s="1" t="s">
        <v>374</v>
      </c>
      <c r="B534" s="1"/>
      <c r="C534" s="30" t="s">
        <v>92</v>
      </c>
      <c r="E534" s="16">
        <v>7570</v>
      </c>
      <c r="F534" s="16"/>
      <c r="G534" s="16">
        <v>0</v>
      </c>
      <c r="H534" s="16"/>
      <c r="I534" s="16">
        <v>51699</v>
      </c>
      <c r="J534" s="16"/>
      <c r="K534" s="16">
        <v>0</v>
      </c>
      <c r="L534" s="16"/>
      <c r="M534" s="16">
        <v>0</v>
      </c>
      <c r="N534" s="16"/>
      <c r="O534" s="16">
        <v>6702</v>
      </c>
      <c r="P534" s="16"/>
      <c r="Q534" s="16">
        <v>2750</v>
      </c>
      <c r="R534" s="16"/>
      <c r="S534" s="16">
        <v>1646</v>
      </c>
      <c r="T534" s="16"/>
      <c r="U534" s="16">
        <v>0</v>
      </c>
      <c r="V534" s="16"/>
      <c r="W534" s="16">
        <v>0</v>
      </c>
      <c r="X534" s="16"/>
      <c r="Y534" s="16">
        <v>0</v>
      </c>
      <c r="Z534" s="16"/>
      <c r="AA534" s="16">
        <v>0</v>
      </c>
      <c r="AB534" s="16"/>
      <c r="AC534" s="16">
        <v>0</v>
      </c>
      <c r="AD534" s="16"/>
      <c r="AE534" s="16">
        <f t="shared" si="16"/>
        <v>70367</v>
      </c>
    </row>
    <row r="535" spans="1:31" ht="12.75" customHeight="1">
      <c r="A535" s="1" t="s">
        <v>375</v>
      </c>
      <c r="B535" s="1"/>
      <c r="C535" s="1" t="s">
        <v>133</v>
      </c>
      <c r="D535" s="16"/>
      <c r="E535" s="16">
        <v>32974</v>
      </c>
      <c r="F535" s="16"/>
      <c r="G535" s="16">
        <v>0</v>
      </c>
      <c r="H535" s="16"/>
      <c r="I535" s="16">
        <v>98942</v>
      </c>
      <c r="J535" s="16"/>
      <c r="K535" s="16">
        <v>0</v>
      </c>
      <c r="L535" s="16"/>
      <c r="M535" s="16">
        <v>240</v>
      </c>
      <c r="N535" s="16"/>
      <c r="O535" s="16">
        <v>1166</v>
      </c>
      <c r="P535" s="16"/>
      <c r="Q535" s="16">
        <v>1258</v>
      </c>
      <c r="R535" s="16"/>
      <c r="S535" s="16">
        <v>5652</v>
      </c>
      <c r="T535" s="16"/>
      <c r="U535" s="16">
        <v>0</v>
      </c>
      <c r="V535" s="16"/>
      <c r="W535" s="16">
        <v>0</v>
      </c>
      <c r="X535" s="16"/>
      <c r="Y535" s="16">
        <v>13119</v>
      </c>
      <c r="Z535" s="16"/>
      <c r="AA535" s="16">
        <v>26216</v>
      </c>
      <c r="AB535" s="16"/>
      <c r="AC535" s="16">
        <v>13</v>
      </c>
      <c r="AD535" s="16"/>
      <c r="AE535" s="16">
        <f t="shared" si="16"/>
        <v>179580</v>
      </c>
    </row>
    <row r="536" spans="1:31" ht="12.75" customHeight="1">
      <c r="A536" s="1" t="s">
        <v>376</v>
      </c>
      <c r="B536" s="1"/>
      <c r="C536" s="30" t="s">
        <v>346</v>
      </c>
      <c r="E536" s="16">
        <f>83498+4241</f>
        <v>87739</v>
      </c>
      <c r="F536" s="16"/>
      <c r="G536" s="16">
        <v>0</v>
      </c>
      <c r="H536" s="16"/>
      <c r="I536" s="16">
        <f>51360+31938</f>
        <v>83298</v>
      </c>
      <c r="J536" s="16"/>
      <c r="K536" s="16">
        <v>0</v>
      </c>
      <c r="L536" s="16"/>
      <c r="M536" s="16">
        <v>5533</v>
      </c>
      <c r="N536" s="16"/>
      <c r="O536" s="16">
        <f>29104+315</f>
        <v>29419</v>
      </c>
      <c r="P536" s="16"/>
      <c r="Q536" s="16">
        <v>0</v>
      </c>
      <c r="R536" s="16"/>
      <c r="S536" s="16">
        <v>9704</v>
      </c>
      <c r="T536" s="16"/>
      <c r="U536" s="16">
        <v>59278</v>
      </c>
      <c r="V536" s="16"/>
      <c r="W536" s="16">
        <v>0</v>
      </c>
      <c r="X536" s="16"/>
      <c r="Y536" s="16">
        <v>29278</v>
      </c>
      <c r="Z536" s="16"/>
      <c r="AA536" s="16">
        <v>0</v>
      </c>
      <c r="AB536" s="16"/>
      <c r="AC536" s="16">
        <v>0</v>
      </c>
      <c r="AD536" s="16"/>
      <c r="AE536" s="16">
        <f t="shared" si="16"/>
        <v>304249</v>
      </c>
    </row>
    <row r="537" spans="1:31" ht="12.75" customHeight="1">
      <c r="A537" s="1" t="s">
        <v>377</v>
      </c>
      <c r="B537" s="1"/>
      <c r="C537" s="1" t="s">
        <v>378</v>
      </c>
      <c r="D537" s="16"/>
      <c r="E537" s="16">
        <f>788568+361179+156657</f>
        <v>1306404</v>
      </c>
      <c r="F537" s="16"/>
      <c r="G537" s="16">
        <v>0</v>
      </c>
      <c r="H537" s="16"/>
      <c r="I537" s="16">
        <f>627232+200810</f>
        <v>828042</v>
      </c>
      <c r="J537" s="16"/>
      <c r="K537" s="16">
        <v>0</v>
      </c>
      <c r="L537" s="16"/>
      <c r="M537" s="16">
        <f>46387+15578</f>
        <v>61965</v>
      </c>
      <c r="N537" s="16"/>
      <c r="O537" s="16">
        <v>31241</v>
      </c>
      <c r="P537" s="16"/>
      <c r="Q537" s="16">
        <f>6694+25841</f>
        <v>32535</v>
      </c>
      <c r="R537" s="16"/>
      <c r="S537" s="16">
        <f>49021+30411+5872</f>
        <v>85304</v>
      </c>
      <c r="T537" s="16"/>
      <c r="U537" s="16">
        <v>0</v>
      </c>
      <c r="V537" s="16"/>
      <c r="W537" s="16">
        <v>0</v>
      </c>
      <c r="X537" s="16"/>
      <c r="Y537" s="16">
        <v>698451</v>
      </c>
      <c r="Z537" s="16"/>
      <c r="AA537" s="16">
        <v>0</v>
      </c>
      <c r="AB537" s="16"/>
      <c r="AC537" s="16">
        <v>115787</v>
      </c>
      <c r="AD537" s="16"/>
      <c r="AE537" s="16">
        <f t="shared" si="16"/>
        <v>3159729</v>
      </c>
    </row>
    <row r="538" spans="1:31" ht="12.75" customHeight="1">
      <c r="A538" s="1" t="s">
        <v>562</v>
      </c>
      <c r="C538" s="1" t="s">
        <v>199</v>
      </c>
      <c r="E538" s="16">
        <v>30665</v>
      </c>
      <c r="F538" s="16"/>
      <c r="G538" s="16">
        <v>0</v>
      </c>
      <c r="H538" s="16"/>
      <c r="I538" s="16">
        <v>83021</v>
      </c>
      <c r="J538" s="16"/>
      <c r="K538" s="16">
        <v>30520</v>
      </c>
      <c r="L538" s="16"/>
      <c r="M538" s="16">
        <v>13300</v>
      </c>
      <c r="N538" s="16"/>
      <c r="O538" s="16">
        <v>17192</v>
      </c>
      <c r="P538" s="16"/>
      <c r="Q538" s="16">
        <v>8820</v>
      </c>
      <c r="R538" s="16"/>
      <c r="S538" s="16">
        <v>10829</v>
      </c>
      <c r="T538" s="16"/>
      <c r="U538" s="16">
        <v>0</v>
      </c>
      <c r="V538" s="16"/>
      <c r="W538" s="16">
        <v>0</v>
      </c>
      <c r="X538" s="16"/>
      <c r="Y538" s="16">
        <v>2632</v>
      </c>
      <c r="Z538" s="16"/>
      <c r="AA538" s="16">
        <v>0</v>
      </c>
      <c r="AB538" s="16"/>
      <c r="AC538" s="16">
        <v>0</v>
      </c>
      <c r="AD538" s="16"/>
      <c r="AE538" s="16">
        <f t="shared" si="16"/>
        <v>196979</v>
      </c>
    </row>
    <row r="539" spans="1:31" ht="12.75" customHeight="1">
      <c r="A539" s="1" t="s">
        <v>479</v>
      </c>
      <c r="C539" s="1" t="s">
        <v>146</v>
      </c>
      <c r="E539" s="16">
        <v>46323</v>
      </c>
      <c r="F539" s="16"/>
      <c r="G539" s="16">
        <v>0</v>
      </c>
      <c r="H539" s="16"/>
      <c r="I539" s="16">
        <v>82499</v>
      </c>
      <c r="J539" s="16"/>
      <c r="K539" s="16">
        <v>0</v>
      </c>
      <c r="L539" s="16"/>
      <c r="M539" s="16">
        <v>47871</v>
      </c>
      <c r="N539" s="16"/>
      <c r="O539" s="16">
        <v>39939</v>
      </c>
      <c r="P539" s="16"/>
      <c r="Q539" s="16">
        <v>4360</v>
      </c>
      <c r="R539" s="16"/>
      <c r="S539" s="16">
        <v>1280</v>
      </c>
      <c r="T539" s="16"/>
      <c r="U539" s="16">
        <v>0</v>
      </c>
      <c r="V539" s="16"/>
      <c r="W539" s="16">
        <v>0</v>
      </c>
      <c r="X539" s="16"/>
      <c r="Y539" s="16">
        <v>1447</v>
      </c>
      <c r="Z539" s="16"/>
      <c r="AA539" s="16">
        <v>0</v>
      </c>
      <c r="AB539" s="16"/>
      <c r="AC539" s="16">
        <v>2796</v>
      </c>
      <c r="AD539" s="16"/>
      <c r="AE539" s="16">
        <f t="shared" si="16"/>
        <v>226515</v>
      </c>
    </row>
    <row r="540" spans="1:31" ht="12.75" customHeight="1">
      <c r="A540" s="1" t="s">
        <v>643</v>
      </c>
      <c r="C540" s="1" t="s">
        <v>274</v>
      </c>
      <c r="E540" s="16">
        <v>302488</v>
      </c>
      <c r="F540" s="16"/>
      <c r="G540" s="16">
        <v>782067</v>
      </c>
      <c r="H540" s="16"/>
      <c r="I540" s="16">
        <v>440555</v>
      </c>
      <c r="J540" s="16"/>
      <c r="K540" s="16">
        <v>839</v>
      </c>
      <c r="L540" s="16"/>
      <c r="M540" s="16">
        <v>141</v>
      </c>
      <c r="N540" s="16"/>
      <c r="O540" s="16">
        <v>21532</v>
      </c>
      <c r="P540" s="16"/>
      <c r="Q540" s="16">
        <v>40472</v>
      </c>
      <c r="R540" s="16"/>
      <c r="S540" s="16">
        <v>136000</v>
      </c>
      <c r="T540" s="16"/>
      <c r="U540" s="16">
        <v>2276</v>
      </c>
      <c r="V540" s="16"/>
      <c r="W540" s="16">
        <v>0</v>
      </c>
      <c r="X540" s="16"/>
      <c r="Y540" s="16">
        <v>918547</v>
      </c>
      <c r="Z540" s="16"/>
      <c r="AA540" s="16">
        <v>0</v>
      </c>
      <c r="AB540" s="16"/>
      <c r="AC540" s="16">
        <v>0</v>
      </c>
      <c r="AD540" s="16"/>
      <c r="AE540" s="16">
        <f t="shared" si="16"/>
        <v>2644917</v>
      </c>
    </row>
    <row r="541" spans="1:31" ht="12.75" customHeight="1">
      <c r="A541" s="1" t="s">
        <v>471</v>
      </c>
      <c r="B541" s="1"/>
      <c r="C541" s="1" t="s">
        <v>100</v>
      </c>
      <c r="E541" s="16">
        <v>524181</v>
      </c>
      <c r="F541" s="16"/>
      <c r="G541" s="16">
        <v>0</v>
      </c>
      <c r="H541" s="16"/>
      <c r="I541" s="16">
        <v>424215</v>
      </c>
      <c r="J541" s="16"/>
      <c r="K541" s="16">
        <v>0</v>
      </c>
      <c r="L541" s="16"/>
      <c r="M541" s="16">
        <v>151791</v>
      </c>
      <c r="N541" s="16"/>
      <c r="O541" s="16">
        <v>15164</v>
      </c>
      <c r="P541" s="16"/>
      <c r="Q541" s="16">
        <v>7869</v>
      </c>
      <c r="R541" s="16"/>
      <c r="S541" s="16">
        <v>24618</v>
      </c>
      <c r="T541" s="16"/>
      <c r="U541" s="16">
        <v>0</v>
      </c>
      <c r="V541" s="16"/>
      <c r="W541" s="16">
        <v>0</v>
      </c>
      <c r="X541" s="16"/>
      <c r="Y541" s="16">
        <v>0</v>
      </c>
      <c r="Z541" s="16"/>
      <c r="AA541" s="16">
        <v>0</v>
      </c>
      <c r="AB541" s="16"/>
      <c r="AC541" s="16">
        <v>0</v>
      </c>
      <c r="AD541" s="16"/>
      <c r="AE541" s="16">
        <f t="shared" si="16"/>
        <v>1147838</v>
      </c>
    </row>
    <row r="542" spans="1:31" ht="12.75" customHeight="1">
      <c r="A542" s="1" t="s">
        <v>684</v>
      </c>
      <c r="C542" s="1" t="s">
        <v>179</v>
      </c>
      <c r="E542" s="16">
        <v>81982</v>
      </c>
      <c r="F542" s="16"/>
      <c r="G542" s="16">
        <v>0</v>
      </c>
      <c r="H542" s="16"/>
      <c r="I542" s="16">
        <v>96150</v>
      </c>
      <c r="J542" s="16"/>
      <c r="K542" s="16">
        <v>0</v>
      </c>
      <c r="L542" s="16"/>
      <c r="M542" s="16">
        <v>10174</v>
      </c>
      <c r="N542" s="16"/>
      <c r="O542" s="16">
        <v>7966</v>
      </c>
      <c r="P542" s="16"/>
      <c r="Q542" s="16">
        <v>1434</v>
      </c>
      <c r="R542" s="16"/>
      <c r="S542" s="16">
        <v>5707</v>
      </c>
      <c r="T542" s="16"/>
      <c r="U542" s="16">
        <v>0</v>
      </c>
      <c r="V542" s="16"/>
      <c r="W542" s="16">
        <v>0</v>
      </c>
      <c r="X542" s="16"/>
      <c r="Y542" s="16">
        <v>0</v>
      </c>
      <c r="Z542" s="16"/>
      <c r="AA542" s="16">
        <v>0</v>
      </c>
      <c r="AB542" s="16"/>
      <c r="AC542" s="16">
        <v>62343</v>
      </c>
      <c r="AD542" s="16"/>
      <c r="AE542" s="16">
        <f t="shared" si="16"/>
        <v>265756</v>
      </c>
    </row>
    <row r="543" spans="1:31" ht="12.75" customHeight="1">
      <c r="A543" s="1" t="s">
        <v>379</v>
      </c>
      <c r="B543" s="1"/>
      <c r="C543" s="1" t="s">
        <v>228</v>
      </c>
      <c r="D543" s="16"/>
      <c r="E543" s="16">
        <f>2452253</f>
        <v>2452253</v>
      </c>
      <c r="F543" s="16"/>
      <c r="G543" s="16">
        <f>3897+286880</f>
        <v>290777</v>
      </c>
      <c r="H543" s="16"/>
      <c r="I543" s="16">
        <f>122600+213316</f>
        <v>335916</v>
      </c>
      <c r="J543" s="16"/>
      <c r="K543" s="16">
        <v>214526</v>
      </c>
      <c r="L543" s="16"/>
      <c r="M543" s="16">
        <f>149586+4538</f>
        <v>154124</v>
      </c>
      <c r="N543" s="16"/>
      <c r="O543" s="16">
        <f>535287+32529</f>
        <v>567816</v>
      </c>
      <c r="P543" s="16"/>
      <c r="Q543" s="16">
        <v>10655</v>
      </c>
      <c r="R543" s="16"/>
      <c r="S543" s="16">
        <f>155072+14448</f>
        <v>169520</v>
      </c>
      <c r="T543" s="16"/>
      <c r="U543" s="16">
        <v>36037</v>
      </c>
      <c r="V543" s="16"/>
      <c r="W543" s="16">
        <v>0</v>
      </c>
      <c r="X543" s="16"/>
      <c r="Y543" s="16">
        <v>48040</v>
      </c>
      <c r="Z543" s="16"/>
      <c r="AA543" s="16">
        <v>0</v>
      </c>
      <c r="AB543" s="16"/>
      <c r="AC543" s="16">
        <v>-118955</v>
      </c>
      <c r="AD543" s="16"/>
      <c r="AE543" s="16">
        <f t="shared" si="16"/>
        <v>4160709</v>
      </c>
    </row>
    <row r="544" spans="1:31" ht="12.75" customHeight="1">
      <c r="A544" s="1" t="s">
        <v>484</v>
      </c>
      <c r="C544" s="1" t="s">
        <v>153</v>
      </c>
      <c r="E544" s="16">
        <v>6995</v>
      </c>
      <c r="F544" s="16"/>
      <c r="G544" s="16">
        <v>0</v>
      </c>
      <c r="H544" s="16"/>
      <c r="I544" s="16">
        <v>66369</v>
      </c>
      <c r="J544" s="16"/>
      <c r="K544" s="16">
        <v>0</v>
      </c>
      <c r="L544" s="16"/>
      <c r="M544" s="16">
        <v>0</v>
      </c>
      <c r="N544" s="16"/>
      <c r="O544" s="16">
        <v>2413</v>
      </c>
      <c r="P544" s="16"/>
      <c r="Q544" s="16">
        <v>170</v>
      </c>
      <c r="R544" s="16"/>
      <c r="S544" s="16">
        <v>4315</v>
      </c>
      <c r="T544" s="16"/>
      <c r="U544" s="16">
        <v>0</v>
      </c>
      <c r="V544" s="16"/>
      <c r="W544" s="16">
        <v>0</v>
      </c>
      <c r="X544" s="16"/>
      <c r="Y544" s="16">
        <v>0</v>
      </c>
      <c r="Z544" s="16"/>
      <c r="AA544" s="16">
        <v>0</v>
      </c>
      <c r="AB544" s="16"/>
      <c r="AC544" s="16">
        <v>3417</v>
      </c>
      <c r="AD544" s="16"/>
      <c r="AE544" s="16">
        <f t="shared" si="16"/>
        <v>83679</v>
      </c>
    </row>
    <row r="545" spans="1:31" ht="12.75" customHeight="1">
      <c r="A545" s="1" t="s">
        <v>525</v>
      </c>
      <c r="C545" s="1" t="s">
        <v>244</v>
      </c>
      <c r="E545" s="16">
        <v>73264</v>
      </c>
      <c r="F545" s="16"/>
      <c r="G545" s="16">
        <v>16317</v>
      </c>
      <c r="H545" s="16"/>
      <c r="I545" s="16">
        <v>164799</v>
      </c>
      <c r="J545" s="16"/>
      <c r="K545" s="16">
        <v>0</v>
      </c>
      <c r="L545" s="16"/>
      <c r="M545" s="16">
        <v>39581</v>
      </c>
      <c r="N545" s="16"/>
      <c r="O545" s="16">
        <v>1237</v>
      </c>
      <c r="P545" s="16"/>
      <c r="Q545" s="16">
        <v>2340</v>
      </c>
      <c r="R545" s="16"/>
      <c r="S545" s="16">
        <v>13518</v>
      </c>
      <c r="T545" s="16"/>
      <c r="U545" s="16">
        <v>0</v>
      </c>
      <c r="V545" s="16"/>
      <c r="W545" s="16">
        <v>0</v>
      </c>
      <c r="X545" s="16"/>
      <c r="Y545" s="16">
        <v>6415</v>
      </c>
      <c r="Z545" s="16"/>
      <c r="AA545" s="16">
        <v>0</v>
      </c>
      <c r="AB545" s="16"/>
      <c r="AC545" s="16">
        <v>0</v>
      </c>
      <c r="AD545" s="16"/>
      <c r="AE545" s="16">
        <f t="shared" si="16"/>
        <v>317471</v>
      </c>
    </row>
    <row r="546" spans="1:31" ht="12.75" customHeight="1">
      <c r="A546" s="1" t="s">
        <v>380</v>
      </c>
      <c r="B546" s="1"/>
      <c r="C546" s="1" t="s">
        <v>147</v>
      </c>
      <c r="D546" s="16"/>
      <c r="E546" s="16">
        <v>28748</v>
      </c>
      <c r="F546" s="16"/>
      <c r="G546" s="16">
        <v>0</v>
      </c>
      <c r="H546" s="16"/>
      <c r="I546" s="16">
        <v>95472</v>
      </c>
      <c r="J546" s="16"/>
      <c r="K546" s="16">
        <v>0</v>
      </c>
      <c r="L546" s="16"/>
      <c r="M546" s="16">
        <v>0</v>
      </c>
      <c r="N546" s="16"/>
      <c r="O546" s="16">
        <v>8775</v>
      </c>
      <c r="P546" s="16"/>
      <c r="Q546" s="16">
        <v>4136</v>
      </c>
      <c r="R546" s="16"/>
      <c r="S546" s="16">
        <v>3755</v>
      </c>
      <c r="T546" s="16"/>
      <c r="U546" s="16">
        <v>0</v>
      </c>
      <c r="V546" s="16"/>
      <c r="W546" s="16">
        <v>0</v>
      </c>
      <c r="X546" s="16"/>
      <c r="Y546" s="16">
        <v>0</v>
      </c>
      <c r="Z546" s="16"/>
      <c r="AA546" s="16">
        <v>0</v>
      </c>
      <c r="AB546" s="16"/>
      <c r="AC546" s="16">
        <v>22422</v>
      </c>
      <c r="AD546" s="16"/>
      <c r="AE546" s="16">
        <f t="shared" si="16"/>
        <v>163308</v>
      </c>
    </row>
    <row r="547" spans="1:31" ht="12.75" customHeight="1">
      <c r="A547" s="1" t="s">
        <v>381</v>
      </c>
      <c r="B547" s="1"/>
      <c r="C547" s="1" t="s">
        <v>84</v>
      </c>
      <c r="D547" s="16"/>
      <c r="E547" s="16">
        <f>52887</f>
        <v>52887</v>
      </c>
      <c r="F547" s="16"/>
      <c r="G547" s="16">
        <v>0</v>
      </c>
      <c r="H547" s="16"/>
      <c r="I547" s="16">
        <v>181129</v>
      </c>
      <c r="J547" s="16"/>
      <c r="K547" s="16">
        <v>1801</v>
      </c>
      <c r="L547" s="16"/>
      <c r="M547" s="16">
        <v>66597</v>
      </c>
      <c r="N547" s="16"/>
      <c r="O547" s="16">
        <v>6598</v>
      </c>
      <c r="P547" s="16"/>
      <c r="Q547" s="16">
        <v>26</v>
      </c>
      <c r="R547" s="16"/>
      <c r="S547" s="16">
        <v>43756</v>
      </c>
      <c r="T547" s="16"/>
      <c r="U547" s="16">
        <v>0</v>
      </c>
      <c r="V547" s="16"/>
      <c r="W547" s="16">
        <v>0</v>
      </c>
      <c r="X547" s="16"/>
      <c r="Y547" s="16">
        <v>100000</v>
      </c>
      <c r="Z547" s="16"/>
      <c r="AA547" s="16">
        <v>0</v>
      </c>
      <c r="AB547" s="16"/>
      <c r="AC547" s="16">
        <v>0</v>
      </c>
      <c r="AD547" s="16"/>
      <c r="AE547" s="16">
        <f t="shared" si="16"/>
        <v>452794</v>
      </c>
    </row>
    <row r="548" spans="1:31" ht="12.75" customHeight="1">
      <c r="A548" s="1" t="s">
        <v>382</v>
      </c>
      <c r="B548" s="1"/>
      <c r="C548" s="1" t="s">
        <v>129</v>
      </c>
      <c r="D548" s="16"/>
      <c r="E548" s="16">
        <v>961110</v>
      </c>
      <c r="F548" s="16"/>
      <c r="G548" s="16">
        <v>0</v>
      </c>
      <c r="H548" s="16"/>
      <c r="I548" s="16">
        <v>637880</v>
      </c>
      <c r="J548" s="16"/>
      <c r="K548" s="16">
        <v>43120</v>
      </c>
      <c r="L548" s="16"/>
      <c r="M548" s="16">
        <v>38596</v>
      </c>
      <c r="N548" s="16"/>
      <c r="O548" s="16">
        <v>46258</v>
      </c>
      <c r="P548" s="16"/>
      <c r="Q548" s="16">
        <v>37095</v>
      </c>
      <c r="R548" s="16"/>
      <c r="S548" s="16">
        <v>9790</v>
      </c>
      <c r="T548" s="16"/>
      <c r="U548" s="16">
        <v>39722</v>
      </c>
      <c r="V548" s="16"/>
      <c r="W548" s="16">
        <v>0</v>
      </c>
      <c r="X548" s="16"/>
      <c r="Y548" s="16">
        <v>433064</v>
      </c>
      <c r="Z548" s="16"/>
      <c r="AA548" s="16">
        <v>0</v>
      </c>
      <c r="AB548" s="16"/>
      <c r="AC548" s="16">
        <v>633</v>
      </c>
      <c r="AD548" s="16"/>
      <c r="AE548" s="16">
        <f t="shared" si="16"/>
        <v>2247268</v>
      </c>
    </row>
    <row r="549" spans="1:31" ht="12.75" customHeight="1">
      <c r="A549" s="1" t="s">
        <v>383</v>
      </c>
      <c r="B549" s="1"/>
      <c r="C549" s="1" t="s">
        <v>247</v>
      </c>
      <c r="D549" s="16"/>
      <c r="E549" s="16">
        <v>6639</v>
      </c>
      <c r="F549" s="16"/>
      <c r="G549" s="16">
        <v>0</v>
      </c>
      <c r="H549" s="16"/>
      <c r="I549" s="16">
        <f>25384+6073</f>
        <v>31457</v>
      </c>
      <c r="J549" s="16"/>
      <c r="K549" s="16">
        <v>0</v>
      </c>
      <c r="L549" s="16"/>
      <c r="M549" s="16">
        <v>0</v>
      </c>
      <c r="N549" s="16"/>
      <c r="O549" s="16">
        <v>0</v>
      </c>
      <c r="P549" s="16"/>
      <c r="Q549" s="16">
        <v>0</v>
      </c>
      <c r="R549" s="16"/>
      <c r="S549" s="16">
        <v>1629</v>
      </c>
      <c r="T549" s="16"/>
      <c r="U549" s="16">
        <v>0</v>
      </c>
      <c r="V549" s="16"/>
      <c r="W549" s="16">
        <v>0</v>
      </c>
      <c r="X549" s="16"/>
      <c r="Y549" s="16">
        <v>0</v>
      </c>
      <c r="Z549" s="16"/>
      <c r="AA549" s="16">
        <v>0</v>
      </c>
      <c r="AB549" s="16"/>
      <c r="AC549" s="16">
        <v>0</v>
      </c>
      <c r="AD549" s="16"/>
      <c r="AE549" s="16">
        <f t="shared" si="16"/>
        <v>39725</v>
      </c>
    </row>
    <row r="550" spans="1:31" ht="12.75" customHeight="1">
      <c r="A550" s="1" t="s">
        <v>384</v>
      </c>
      <c r="B550" s="1"/>
      <c r="C550" s="1" t="s">
        <v>84</v>
      </c>
      <c r="D550" s="16"/>
      <c r="E550" s="16">
        <f>55975</f>
        <v>55975</v>
      </c>
      <c r="F550" s="16"/>
      <c r="G550" s="16">
        <v>524154</v>
      </c>
      <c r="H550" s="16"/>
      <c r="I550" s="16">
        <v>152587</v>
      </c>
      <c r="J550" s="16"/>
      <c r="K550" s="16">
        <v>0</v>
      </c>
      <c r="L550" s="16"/>
      <c r="M550" s="16">
        <v>5171</v>
      </c>
      <c r="N550" s="16"/>
      <c r="O550" s="16">
        <v>33983</v>
      </c>
      <c r="P550" s="16"/>
      <c r="Q550" s="16">
        <v>2767</v>
      </c>
      <c r="R550" s="16"/>
      <c r="S550" s="16">
        <v>106654</v>
      </c>
      <c r="T550" s="16"/>
      <c r="U550" s="16">
        <v>0</v>
      </c>
      <c r="V550" s="16"/>
      <c r="W550" s="16">
        <v>0</v>
      </c>
      <c r="X550" s="16"/>
      <c r="Y550" s="16">
        <v>357512</v>
      </c>
      <c r="Z550" s="16"/>
      <c r="AA550" s="16">
        <v>0</v>
      </c>
      <c r="AB550" s="16"/>
      <c r="AC550" s="16">
        <v>0</v>
      </c>
      <c r="AD550" s="16"/>
      <c r="AE550" s="16">
        <f t="shared" si="16"/>
        <v>1238803</v>
      </c>
    </row>
    <row r="551" spans="1:31" ht="12.75" customHeight="1">
      <c r="A551" s="1" t="s">
        <v>385</v>
      </c>
      <c r="B551" s="1"/>
      <c r="C551" s="1" t="s">
        <v>179</v>
      </c>
      <c r="D551" s="16"/>
      <c r="E551" s="16">
        <v>86945</v>
      </c>
      <c r="F551" s="16"/>
      <c r="G551" s="16">
        <v>0</v>
      </c>
      <c r="H551" s="16"/>
      <c r="I551" s="16">
        <v>1338115</v>
      </c>
      <c r="J551" s="16"/>
      <c r="K551" s="16">
        <v>0</v>
      </c>
      <c r="L551" s="16"/>
      <c r="M551" s="16">
        <v>9582</v>
      </c>
      <c r="N551" s="16"/>
      <c r="O551" s="16">
        <v>16008</v>
      </c>
      <c r="P551" s="16"/>
      <c r="Q551" s="16">
        <v>14361</v>
      </c>
      <c r="R551" s="16"/>
      <c r="S551" s="16">
        <v>132324</v>
      </c>
      <c r="T551" s="16"/>
      <c r="U551" s="16">
        <v>0</v>
      </c>
      <c r="V551" s="16"/>
      <c r="W551" s="16">
        <v>0</v>
      </c>
      <c r="X551" s="16"/>
      <c r="Y551" s="16">
        <v>0</v>
      </c>
      <c r="Z551" s="16"/>
      <c r="AA551" s="16">
        <v>0</v>
      </c>
      <c r="AB551" s="16"/>
      <c r="AC551" s="16">
        <v>112354</v>
      </c>
      <c r="AD551" s="16"/>
      <c r="AE551" s="16">
        <f t="shared" si="16"/>
        <v>1709689</v>
      </c>
    </row>
    <row r="552" spans="1:31" ht="12.75" customHeight="1">
      <c r="A552" s="1" t="s">
        <v>480</v>
      </c>
      <c r="C552" s="1" t="s">
        <v>146</v>
      </c>
      <c r="E552" s="16">
        <v>7390</v>
      </c>
      <c r="F552" s="16"/>
      <c r="G552" s="16">
        <v>0</v>
      </c>
      <c r="H552" s="16"/>
      <c r="I552" s="16">
        <v>47595</v>
      </c>
      <c r="J552" s="16"/>
      <c r="K552" s="16">
        <v>0</v>
      </c>
      <c r="L552" s="16"/>
      <c r="M552" s="16">
        <v>1600</v>
      </c>
      <c r="N552" s="16"/>
      <c r="O552" s="16">
        <v>434</v>
      </c>
      <c r="P552" s="16"/>
      <c r="Q552" s="16">
        <v>433</v>
      </c>
      <c r="R552" s="16"/>
      <c r="S552" s="16">
        <v>1453</v>
      </c>
      <c r="T552" s="16"/>
      <c r="U552" s="16">
        <v>0</v>
      </c>
      <c r="V552" s="16"/>
      <c r="W552" s="16">
        <v>0</v>
      </c>
      <c r="X552" s="16"/>
      <c r="Y552" s="16">
        <v>1883</v>
      </c>
      <c r="Z552" s="16"/>
      <c r="AA552" s="16">
        <v>0</v>
      </c>
      <c r="AB552" s="16"/>
      <c r="AC552" s="16">
        <v>0</v>
      </c>
      <c r="AD552" s="16"/>
      <c r="AE552" s="16">
        <f t="shared" si="16"/>
        <v>60788</v>
      </c>
    </row>
    <row r="553" spans="1:31" ht="12.75" customHeight="1">
      <c r="A553" s="1" t="s">
        <v>386</v>
      </c>
      <c r="B553" s="1"/>
      <c r="C553" s="1" t="s">
        <v>228</v>
      </c>
      <c r="D553" s="16"/>
      <c r="E553" s="16">
        <v>81511</v>
      </c>
      <c r="F553" s="16"/>
      <c r="G553" s="16">
        <v>230122</v>
      </c>
      <c r="H553" s="16"/>
      <c r="I553" s="16">
        <v>168129</v>
      </c>
      <c r="J553" s="16"/>
      <c r="K553" s="16">
        <v>0</v>
      </c>
      <c r="L553" s="16"/>
      <c r="M553" s="16">
        <v>136867</v>
      </c>
      <c r="N553" s="16"/>
      <c r="O553" s="16">
        <v>29467</v>
      </c>
      <c r="P553" s="16"/>
      <c r="Q553" s="16">
        <v>14126</v>
      </c>
      <c r="R553" s="16"/>
      <c r="S553" s="16">
        <v>7204</v>
      </c>
      <c r="T553" s="16"/>
      <c r="U553" s="16">
        <v>0</v>
      </c>
      <c r="V553" s="16"/>
      <c r="W553" s="16">
        <v>0</v>
      </c>
      <c r="X553" s="16"/>
      <c r="Y553" s="16">
        <v>70076</v>
      </c>
      <c r="Z553" s="16"/>
      <c r="AA553" s="16">
        <v>0</v>
      </c>
      <c r="AB553" s="16"/>
      <c r="AC553" s="16">
        <v>116179</v>
      </c>
      <c r="AD553" s="16"/>
      <c r="AE553" s="16">
        <f t="shared" si="16"/>
        <v>853681</v>
      </c>
    </row>
    <row r="554" spans="1:31" ht="12.75" customHeight="1">
      <c r="A554" s="1" t="s">
        <v>783</v>
      </c>
      <c r="C554" s="1" t="s">
        <v>184</v>
      </c>
      <c r="E554" s="16">
        <v>41949</v>
      </c>
      <c r="F554" s="16"/>
      <c r="G554" s="16">
        <v>91821</v>
      </c>
      <c r="H554" s="16"/>
      <c r="I554" s="16">
        <v>87224</v>
      </c>
      <c r="J554" s="16"/>
      <c r="K554" s="16">
        <v>0</v>
      </c>
      <c r="L554" s="16"/>
      <c r="M554" s="16">
        <v>103671</v>
      </c>
      <c r="N554" s="16"/>
      <c r="O554" s="16">
        <v>166793</v>
      </c>
      <c r="P554" s="16"/>
      <c r="Q554" s="16">
        <v>12309</v>
      </c>
      <c r="R554" s="16"/>
      <c r="S554" s="16">
        <v>4345</v>
      </c>
      <c r="T554" s="16"/>
      <c r="U554" s="16">
        <v>25000</v>
      </c>
      <c r="V554" s="16"/>
      <c r="W554" s="16">
        <v>0</v>
      </c>
      <c r="X554" s="16"/>
      <c r="Y554" s="16">
        <v>0</v>
      </c>
      <c r="Z554" s="16"/>
      <c r="AA554" s="16">
        <v>0</v>
      </c>
      <c r="AB554" s="16"/>
      <c r="AC554" s="16">
        <v>0</v>
      </c>
      <c r="AD554" s="16"/>
      <c r="AE554" s="16">
        <f t="shared" si="16"/>
        <v>533112</v>
      </c>
    </row>
    <row r="555" spans="1:31" ht="12.75" customHeight="1">
      <c r="A555" s="1" t="s">
        <v>489</v>
      </c>
      <c r="C555" s="1" t="s">
        <v>194</v>
      </c>
      <c r="E555" s="16">
        <v>118081</v>
      </c>
      <c r="F555" s="16"/>
      <c r="G555" s="16">
        <v>355664</v>
      </c>
      <c r="H555" s="16"/>
      <c r="I555" s="16">
        <v>127511</v>
      </c>
      <c r="J555" s="16"/>
      <c r="K555" s="16">
        <v>0</v>
      </c>
      <c r="L555" s="16"/>
      <c r="M555" s="16">
        <v>11275</v>
      </c>
      <c r="N555" s="16"/>
      <c r="O555" s="16">
        <v>62651</v>
      </c>
      <c r="P555" s="16"/>
      <c r="Q555" s="16">
        <v>627</v>
      </c>
      <c r="R555" s="16"/>
      <c r="S555" s="16">
        <v>63003</v>
      </c>
      <c r="T555" s="16"/>
      <c r="U555" s="16">
        <v>0</v>
      </c>
      <c r="V555" s="16"/>
      <c r="W555" s="16">
        <v>0</v>
      </c>
      <c r="X555" s="16"/>
      <c r="Y555" s="16">
        <v>0</v>
      </c>
      <c r="Z555" s="16"/>
      <c r="AA555" s="16">
        <v>0</v>
      </c>
      <c r="AB555" s="16"/>
      <c r="AC555" s="16">
        <v>0</v>
      </c>
      <c r="AD555" s="16"/>
      <c r="AE555" s="16">
        <f t="shared" si="16"/>
        <v>738812</v>
      </c>
    </row>
    <row r="556" spans="1:31" ht="12.75" customHeight="1">
      <c r="A556" s="1" t="s">
        <v>756</v>
      </c>
      <c r="C556" s="1" t="s">
        <v>172</v>
      </c>
      <c r="E556" s="16">
        <v>79245</v>
      </c>
      <c r="F556" s="16"/>
      <c r="G556" s="16">
        <v>692314</v>
      </c>
      <c r="H556" s="16"/>
      <c r="I556" s="16">
        <v>138476</v>
      </c>
      <c r="J556" s="16"/>
      <c r="K556" s="16">
        <v>0</v>
      </c>
      <c r="L556" s="16"/>
      <c r="M556" s="16">
        <v>36700</v>
      </c>
      <c r="N556" s="16"/>
      <c r="O556" s="16">
        <v>123285</v>
      </c>
      <c r="P556" s="16"/>
      <c r="Q556" s="16">
        <v>4251</v>
      </c>
      <c r="R556" s="16"/>
      <c r="S556" s="16">
        <v>64035</v>
      </c>
      <c r="T556" s="16"/>
      <c r="U556" s="16">
        <v>0</v>
      </c>
      <c r="V556" s="16"/>
      <c r="W556" s="16">
        <v>0</v>
      </c>
      <c r="X556" s="16"/>
      <c r="Y556" s="16">
        <v>37774</v>
      </c>
      <c r="Z556" s="16"/>
      <c r="AA556" s="16">
        <v>0</v>
      </c>
      <c r="AB556" s="16"/>
      <c r="AC556" s="16">
        <v>0</v>
      </c>
      <c r="AD556" s="16"/>
      <c r="AE556" s="16">
        <f t="shared" si="16"/>
        <v>1176080</v>
      </c>
    </row>
    <row r="557" spans="1:31" ht="12.75" customHeight="1">
      <c r="A557" s="1" t="s">
        <v>611</v>
      </c>
      <c r="C557" s="1" t="s">
        <v>164</v>
      </c>
      <c r="E557" s="16">
        <v>159835</v>
      </c>
      <c r="F557" s="16"/>
      <c r="G557" s="16">
        <v>0</v>
      </c>
      <c r="H557" s="16"/>
      <c r="I557" s="16">
        <v>544361</v>
      </c>
      <c r="J557" s="16"/>
      <c r="K557" s="16">
        <v>2281</v>
      </c>
      <c r="L557" s="16"/>
      <c r="M557" s="16">
        <v>3271</v>
      </c>
      <c r="N557" s="16"/>
      <c r="O557" s="16">
        <v>42045</v>
      </c>
      <c r="P557" s="16"/>
      <c r="Q557" s="16">
        <v>5052</v>
      </c>
      <c r="R557" s="16"/>
      <c r="S557" s="16">
        <v>4820</v>
      </c>
      <c r="T557" s="16"/>
      <c r="U557" s="16">
        <v>0</v>
      </c>
      <c r="V557" s="16"/>
      <c r="W557" s="16">
        <v>0</v>
      </c>
      <c r="X557" s="16"/>
      <c r="Y557" s="16">
        <v>67085</v>
      </c>
      <c r="Z557" s="16"/>
      <c r="AA557" s="16">
        <v>0</v>
      </c>
      <c r="AB557" s="16"/>
      <c r="AC557" s="16">
        <v>0</v>
      </c>
      <c r="AD557" s="16"/>
      <c r="AE557" s="16">
        <f t="shared" si="16"/>
        <v>828750</v>
      </c>
    </row>
    <row r="558" spans="1:31" ht="12.75" customHeight="1">
      <c r="A558" s="1" t="s">
        <v>387</v>
      </c>
      <c r="B558" s="1"/>
      <c r="C558" s="1" t="s">
        <v>291</v>
      </c>
      <c r="D558" s="16"/>
      <c r="E558" s="16">
        <v>841343</v>
      </c>
      <c r="F558" s="16"/>
      <c r="G558" s="16">
        <v>1107110</v>
      </c>
      <c r="H558" s="16"/>
      <c r="I558" s="16">
        <v>388273</v>
      </c>
      <c r="J558" s="16"/>
      <c r="K558" s="16">
        <v>0</v>
      </c>
      <c r="L558" s="16"/>
      <c r="M558" s="16">
        <v>66730</v>
      </c>
      <c r="N558" s="16"/>
      <c r="O558" s="16">
        <v>91435</v>
      </c>
      <c r="P558" s="16"/>
      <c r="Q558" s="16">
        <v>31721</v>
      </c>
      <c r="R558" s="16"/>
      <c r="S558" s="16">
        <v>10679</v>
      </c>
      <c r="T558" s="16"/>
      <c r="U558" s="16">
        <v>0</v>
      </c>
      <c r="V558" s="16"/>
      <c r="W558" s="16">
        <v>0</v>
      </c>
      <c r="X558" s="16"/>
      <c r="Y558" s="16">
        <v>1071652</v>
      </c>
      <c r="Z558" s="16"/>
      <c r="AA558" s="16">
        <v>0</v>
      </c>
      <c r="AB558" s="16"/>
      <c r="AC558" s="16">
        <v>0</v>
      </c>
      <c r="AD558" s="16"/>
      <c r="AE558" s="16">
        <f t="shared" si="16"/>
        <v>3608943</v>
      </c>
    </row>
    <row r="559" spans="1:31" ht="12.75" customHeight="1">
      <c r="A559" s="1" t="s">
        <v>629</v>
      </c>
      <c r="C559" s="1" t="s">
        <v>293</v>
      </c>
      <c r="E559" s="16">
        <v>17249</v>
      </c>
      <c r="F559" s="16"/>
      <c r="G559" s="16">
        <v>25855</v>
      </c>
      <c r="H559" s="16"/>
      <c r="I559" s="16">
        <v>55937</v>
      </c>
      <c r="J559" s="16"/>
      <c r="K559" s="16">
        <v>0</v>
      </c>
      <c r="L559" s="16"/>
      <c r="M559" s="16">
        <v>0</v>
      </c>
      <c r="N559" s="16"/>
      <c r="O559" s="16">
        <v>1480</v>
      </c>
      <c r="P559" s="16"/>
      <c r="Q559" s="16">
        <v>69</v>
      </c>
      <c r="R559" s="16"/>
      <c r="S559" s="16">
        <v>10344</v>
      </c>
      <c r="T559" s="16"/>
      <c r="U559" s="16">
        <v>0</v>
      </c>
      <c r="V559" s="16"/>
      <c r="W559" s="16">
        <v>0</v>
      </c>
      <c r="X559" s="16"/>
      <c r="Y559" s="16">
        <v>0</v>
      </c>
      <c r="Z559" s="16"/>
      <c r="AA559" s="16">
        <v>0</v>
      </c>
      <c r="AB559" s="16"/>
      <c r="AC559" s="16">
        <v>0</v>
      </c>
      <c r="AD559" s="16"/>
      <c r="AE559" s="16">
        <f t="shared" si="16"/>
        <v>110934</v>
      </c>
    </row>
    <row r="560" spans="1:31" ht="12.75" customHeight="1">
      <c r="A560" s="1" t="s">
        <v>490</v>
      </c>
      <c r="C560" s="1" t="s">
        <v>194</v>
      </c>
      <c r="E560" s="16">
        <v>21053</v>
      </c>
      <c r="F560" s="16"/>
      <c r="G560" s="16">
        <v>0</v>
      </c>
      <c r="H560" s="16"/>
      <c r="I560" s="16">
        <v>73689</v>
      </c>
      <c r="J560" s="16"/>
      <c r="K560" s="16">
        <v>0</v>
      </c>
      <c r="L560" s="16"/>
      <c r="M560" s="16">
        <v>0</v>
      </c>
      <c r="N560" s="16"/>
      <c r="O560" s="16">
        <v>17720</v>
      </c>
      <c r="P560" s="16"/>
      <c r="Q560" s="16">
        <v>11317</v>
      </c>
      <c r="R560" s="16"/>
      <c r="S560" s="16">
        <v>18108</v>
      </c>
      <c r="T560" s="16"/>
      <c r="U560" s="16">
        <v>0</v>
      </c>
      <c r="V560" s="16"/>
      <c r="W560" s="16">
        <v>0</v>
      </c>
      <c r="X560" s="16"/>
      <c r="Y560" s="16">
        <v>0</v>
      </c>
      <c r="Z560" s="16"/>
      <c r="AA560" s="16">
        <v>0</v>
      </c>
      <c r="AB560" s="16"/>
      <c r="AC560" s="16">
        <v>14787</v>
      </c>
      <c r="AD560" s="16"/>
      <c r="AE560" s="16">
        <f aca="true" t="shared" si="17" ref="AE560:AE591">SUM(E560:AC560)</f>
        <v>156674</v>
      </c>
    </row>
    <row r="561" spans="1:31" ht="12.75" customHeight="1">
      <c r="A561" s="1" t="s">
        <v>721</v>
      </c>
      <c r="C561" s="1" t="s">
        <v>318</v>
      </c>
      <c r="E561" s="16">
        <v>19125</v>
      </c>
      <c r="F561" s="16"/>
      <c r="G561" s="16">
        <v>0</v>
      </c>
      <c r="H561" s="16"/>
      <c r="I561" s="16">
        <v>45476</v>
      </c>
      <c r="J561" s="16"/>
      <c r="K561" s="16">
        <v>4036</v>
      </c>
      <c r="L561" s="16"/>
      <c r="M561" s="16">
        <v>3300</v>
      </c>
      <c r="N561" s="16"/>
      <c r="O561" s="16">
        <v>2628</v>
      </c>
      <c r="P561" s="16"/>
      <c r="Q561" s="16">
        <v>773</v>
      </c>
      <c r="R561" s="16"/>
      <c r="S561" s="16">
        <v>7461</v>
      </c>
      <c r="T561" s="16"/>
      <c r="U561" s="16">
        <v>0</v>
      </c>
      <c r="V561" s="16"/>
      <c r="W561" s="16">
        <v>0</v>
      </c>
      <c r="X561" s="16"/>
      <c r="Y561" s="16">
        <v>36960</v>
      </c>
      <c r="Z561" s="16"/>
      <c r="AA561" s="16">
        <v>0</v>
      </c>
      <c r="AB561" s="16"/>
      <c r="AC561" s="16">
        <v>0</v>
      </c>
      <c r="AD561" s="16"/>
      <c r="AE561" s="16">
        <f t="shared" si="17"/>
        <v>119759</v>
      </c>
    </row>
    <row r="562" spans="1:31" ht="12.75" customHeight="1">
      <c r="A562" s="1" t="s">
        <v>671</v>
      </c>
      <c r="C562" s="1" t="s">
        <v>67</v>
      </c>
      <c r="E562" s="16">
        <v>89787</v>
      </c>
      <c r="F562" s="16"/>
      <c r="G562" s="16">
        <v>130203</v>
      </c>
      <c r="H562" s="16"/>
      <c r="I562" s="16">
        <v>151352</v>
      </c>
      <c r="J562" s="16"/>
      <c r="K562" s="16">
        <v>20268</v>
      </c>
      <c r="L562" s="16"/>
      <c r="M562" s="16">
        <v>19996</v>
      </c>
      <c r="N562" s="16"/>
      <c r="O562" s="16">
        <v>19752</v>
      </c>
      <c r="P562" s="16"/>
      <c r="Q562" s="16">
        <v>1504</v>
      </c>
      <c r="R562" s="16"/>
      <c r="S562" s="16">
        <v>32504</v>
      </c>
      <c r="T562" s="16"/>
      <c r="U562" s="16">
        <v>0</v>
      </c>
      <c r="V562" s="16"/>
      <c r="W562" s="16">
        <v>0</v>
      </c>
      <c r="X562" s="16"/>
      <c r="Y562" s="16">
        <v>133800</v>
      </c>
      <c r="Z562" s="16"/>
      <c r="AA562" s="16">
        <v>0</v>
      </c>
      <c r="AB562" s="16"/>
      <c r="AC562" s="16">
        <v>0</v>
      </c>
      <c r="AD562" s="16"/>
      <c r="AE562" s="16">
        <f t="shared" si="17"/>
        <v>599166</v>
      </c>
    </row>
    <row r="563" spans="1:31" ht="12.75" customHeight="1">
      <c r="A563" s="1" t="s">
        <v>644</v>
      </c>
      <c r="C563" s="1" t="s">
        <v>274</v>
      </c>
      <c r="E563" s="16">
        <v>96953</v>
      </c>
      <c r="F563" s="16"/>
      <c r="G563" s="16">
        <v>0</v>
      </c>
      <c r="H563" s="16"/>
      <c r="I563" s="16">
        <v>232598</v>
      </c>
      <c r="J563" s="16"/>
      <c r="K563" s="16">
        <v>13162</v>
      </c>
      <c r="L563" s="16"/>
      <c r="M563" s="16">
        <v>0</v>
      </c>
      <c r="N563" s="16"/>
      <c r="O563" s="16">
        <v>3340</v>
      </c>
      <c r="P563" s="16"/>
      <c r="Q563" s="16">
        <v>53</v>
      </c>
      <c r="R563" s="16"/>
      <c r="S563" s="16">
        <v>0</v>
      </c>
      <c r="T563" s="16"/>
      <c r="U563" s="16">
        <v>0</v>
      </c>
      <c r="V563" s="16"/>
      <c r="W563" s="16">
        <v>0</v>
      </c>
      <c r="X563" s="16"/>
      <c r="Y563" s="16">
        <v>20727</v>
      </c>
      <c r="Z563" s="16"/>
      <c r="AA563" s="16">
        <v>0</v>
      </c>
      <c r="AB563" s="16"/>
      <c r="AC563" s="16">
        <v>2357</v>
      </c>
      <c r="AD563" s="16"/>
      <c r="AE563" s="16">
        <f t="shared" si="17"/>
        <v>369190</v>
      </c>
    </row>
    <row r="564" spans="1:31" ht="12.75" customHeight="1">
      <c r="A564" s="1" t="s">
        <v>451</v>
      </c>
      <c r="B564" s="1"/>
      <c r="C564" s="1" t="s">
        <v>447</v>
      </c>
      <c r="E564" s="16">
        <v>135523</v>
      </c>
      <c r="F564" s="16"/>
      <c r="G564" s="16">
        <v>463017</v>
      </c>
      <c r="H564" s="16"/>
      <c r="I564" s="16">
        <v>229827</v>
      </c>
      <c r="J564" s="16"/>
      <c r="K564" s="16">
        <v>0</v>
      </c>
      <c r="L564" s="16"/>
      <c r="M564" s="16">
        <v>0</v>
      </c>
      <c r="N564" s="16"/>
      <c r="O564" s="16">
        <v>18163</v>
      </c>
      <c r="P564" s="16"/>
      <c r="Q564" s="16">
        <v>8746</v>
      </c>
      <c r="R564" s="16"/>
      <c r="S564" s="16">
        <v>10293</v>
      </c>
      <c r="T564" s="16"/>
      <c r="U564" s="16">
        <v>0</v>
      </c>
      <c r="V564" s="16"/>
      <c r="W564" s="16">
        <v>0</v>
      </c>
      <c r="X564" s="16"/>
      <c r="Y564" s="16">
        <v>436266</v>
      </c>
      <c r="Z564" s="16"/>
      <c r="AA564" s="16">
        <v>0</v>
      </c>
      <c r="AB564" s="16"/>
      <c r="AC564" s="16">
        <v>0</v>
      </c>
      <c r="AD564" s="16"/>
      <c r="AE564" s="16">
        <f t="shared" si="17"/>
        <v>1301835</v>
      </c>
    </row>
    <row r="565" spans="1:31" ht="12.75" customHeight="1">
      <c r="A565" s="1" t="s">
        <v>556</v>
      </c>
      <c r="C565" s="1" t="s">
        <v>157</v>
      </c>
      <c r="E565" s="16">
        <v>61328</v>
      </c>
      <c r="F565" s="16"/>
      <c r="G565" s="16">
        <v>0</v>
      </c>
      <c r="H565" s="16"/>
      <c r="I565" s="16">
        <v>86665</v>
      </c>
      <c r="J565" s="16"/>
      <c r="K565" s="16">
        <v>0</v>
      </c>
      <c r="L565" s="16"/>
      <c r="M565" s="16">
        <v>5093</v>
      </c>
      <c r="N565" s="16"/>
      <c r="O565" s="16">
        <v>11926</v>
      </c>
      <c r="P565" s="16"/>
      <c r="Q565" s="16">
        <v>3489</v>
      </c>
      <c r="R565" s="16"/>
      <c r="S565" s="16">
        <v>3924</v>
      </c>
      <c r="T565" s="16"/>
      <c r="U565" s="16">
        <v>0</v>
      </c>
      <c r="V565" s="16"/>
      <c r="W565" s="16">
        <v>0</v>
      </c>
      <c r="X565" s="16"/>
      <c r="Y565" s="16">
        <v>0</v>
      </c>
      <c r="Z565" s="16"/>
      <c r="AA565" s="16">
        <v>0</v>
      </c>
      <c r="AB565" s="16"/>
      <c r="AC565" s="16">
        <v>0</v>
      </c>
      <c r="AD565" s="16"/>
      <c r="AE565" s="16">
        <f t="shared" si="17"/>
        <v>172425</v>
      </c>
    </row>
    <row r="566" spans="1:31" ht="12.75" customHeight="1">
      <c r="A566" s="1" t="s">
        <v>388</v>
      </c>
      <c r="B566" s="1"/>
      <c r="C566" s="1" t="s">
        <v>231</v>
      </c>
      <c r="D566" s="16"/>
      <c r="E566" s="16">
        <v>6237</v>
      </c>
      <c r="F566" s="16"/>
      <c r="G566" s="16">
        <v>0</v>
      </c>
      <c r="H566" s="16"/>
      <c r="I566" s="16">
        <v>60225</v>
      </c>
      <c r="J566" s="16"/>
      <c r="K566" s="16">
        <v>0</v>
      </c>
      <c r="L566" s="16"/>
      <c r="M566" s="16">
        <v>0</v>
      </c>
      <c r="N566" s="16"/>
      <c r="O566" s="16">
        <v>26903</v>
      </c>
      <c r="P566" s="16"/>
      <c r="Q566" s="16">
        <v>0</v>
      </c>
      <c r="R566" s="16"/>
      <c r="S566" s="16">
        <v>14182</v>
      </c>
      <c r="T566" s="16"/>
      <c r="U566" s="16">
        <v>0</v>
      </c>
      <c r="V566" s="16"/>
      <c r="W566" s="16">
        <v>0</v>
      </c>
      <c r="X566" s="16"/>
      <c r="Y566" s="16">
        <v>0</v>
      </c>
      <c r="Z566" s="16"/>
      <c r="AA566" s="16">
        <v>0</v>
      </c>
      <c r="AB566" s="16"/>
      <c r="AC566" s="16">
        <v>0</v>
      </c>
      <c r="AD566" s="16"/>
      <c r="AE566" s="16">
        <f t="shared" si="17"/>
        <v>107547</v>
      </c>
    </row>
    <row r="567" spans="1:31" ht="12.75" customHeight="1">
      <c r="A567" s="1" t="s">
        <v>389</v>
      </c>
      <c r="B567" s="1"/>
      <c r="C567" s="1" t="s">
        <v>246</v>
      </c>
      <c r="D567" s="16"/>
      <c r="E567" s="16">
        <f>1062+2646+215</f>
        <v>3923</v>
      </c>
      <c r="F567" s="16"/>
      <c r="G567" s="16">
        <v>0</v>
      </c>
      <c r="H567" s="16"/>
      <c r="I567" s="16">
        <v>3006</v>
      </c>
      <c r="J567" s="16"/>
      <c r="K567" s="16">
        <v>0</v>
      </c>
      <c r="L567" s="16"/>
      <c r="M567" s="16">
        <v>0</v>
      </c>
      <c r="N567" s="16"/>
      <c r="O567" s="16">
        <v>924</v>
      </c>
      <c r="P567" s="16"/>
      <c r="Q567" s="16">
        <v>463</v>
      </c>
      <c r="R567" s="16"/>
      <c r="S567" s="16">
        <v>0</v>
      </c>
      <c r="T567" s="16"/>
      <c r="U567" s="16">
        <v>0</v>
      </c>
      <c r="V567" s="16"/>
      <c r="W567" s="16">
        <v>0</v>
      </c>
      <c r="X567" s="16"/>
      <c r="Y567" s="16">
        <v>0</v>
      </c>
      <c r="Z567" s="16"/>
      <c r="AA567" s="16">
        <v>0</v>
      </c>
      <c r="AB567" s="16"/>
      <c r="AC567" s="16">
        <v>0</v>
      </c>
      <c r="AD567" s="16"/>
      <c r="AE567" s="16">
        <f t="shared" si="17"/>
        <v>8316</v>
      </c>
    </row>
    <row r="568" spans="1:31" ht="12.75" customHeight="1">
      <c r="A568" s="1" t="s">
        <v>486</v>
      </c>
      <c r="C568" s="1" t="s">
        <v>312</v>
      </c>
      <c r="E568" s="16">
        <v>183113</v>
      </c>
      <c r="F568" s="16"/>
      <c r="G568" s="16">
        <v>0</v>
      </c>
      <c r="H568" s="16"/>
      <c r="I568" s="16">
        <v>281911</v>
      </c>
      <c r="J568" s="16"/>
      <c r="K568" s="16">
        <v>0</v>
      </c>
      <c r="L568" s="16"/>
      <c r="M568" s="16">
        <v>2752</v>
      </c>
      <c r="N568" s="16"/>
      <c r="O568" s="16">
        <v>20573</v>
      </c>
      <c r="P568" s="16"/>
      <c r="Q568" s="16">
        <v>8333</v>
      </c>
      <c r="R568" s="16"/>
      <c r="S568" s="16">
        <v>34944</v>
      </c>
      <c r="T568" s="16"/>
      <c r="U568" s="16">
        <v>0</v>
      </c>
      <c r="V568" s="16"/>
      <c r="W568" s="16">
        <v>0</v>
      </c>
      <c r="X568" s="16"/>
      <c r="Y568" s="16">
        <v>410000</v>
      </c>
      <c r="Z568" s="16"/>
      <c r="AA568" s="16">
        <v>0</v>
      </c>
      <c r="AB568" s="16"/>
      <c r="AC568" s="16">
        <v>0</v>
      </c>
      <c r="AD568" s="16"/>
      <c r="AE568" s="16">
        <f t="shared" si="17"/>
        <v>941626</v>
      </c>
    </row>
    <row r="569" spans="1:31" ht="12.75" customHeight="1">
      <c r="A569" s="1" t="s">
        <v>390</v>
      </c>
      <c r="B569" s="1"/>
      <c r="C569" s="1" t="s">
        <v>80</v>
      </c>
      <c r="D569" s="16"/>
      <c r="E569" s="16">
        <v>2916</v>
      </c>
      <c r="F569" s="16"/>
      <c r="G569" s="16">
        <v>0</v>
      </c>
      <c r="H569" s="16"/>
      <c r="I569" s="16">
        <f>4439+3550</f>
        <v>7989</v>
      </c>
      <c r="J569" s="16"/>
      <c r="K569" s="16">
        <v>0</v>
      </c>
      <c r="L569" s="16"/>
      <c r="M569" s="16">
        <v>0</v>
      </c>
      <c r="N569" s="16"/>
      <c r="O569" s="16">
        <v>0</v>
      </c>
      <c r="P569" s="16"/>
      <c r="Q569" s="16">
        <v>0</v>
      </c>
      <c r="R569" s="16"/>
      <c r="S569" s="16">
        <v>122</v>
      </c>
      <c r="T569" s="16"/>
      <c r="U569" s="16">
        <v>0</v>
      </c>
      <c r="V569" s="16"/>
      <c r="W569" s="16">
        <v>0</v>
      </c>
      <c r="X569" s="16"/>
      <c r="Y569" s="16">
        <v>0</v>
      </c>
      <c r="Z569" s="16"/>
      <c r="AA569" s="16">
        <v>0</v>
      </c>
      <c r="AB569" s="16"/>
      <c r="AC569" s="16">
        <v>0</v>
      </c>
      <c r="AD569" s="16"/>
      <c r="AE569" s="16">
        <f t="shared" si="17"/>
        <v>11027</v>
      </c>
    </row>
    <row r="570" spans="1:31" ht="12.75" customHeight="1">
      <c r="A570" s="1" t="s">
        <v>663</v>
      </c>
      <c r="C570" s="1" t="s">
        <v>280</v>
      </c>
      <c r="E570" s="16">
        <v>28988</v>
      </c>
      <c r="F570" s="16"/>
      <c r="G570" s="16">
        <v>0</v>
      </c>
      <c r="H570" s="16"/>
      <c r="I570" s="16">
        <v>29196</v>
      </c>
      <c r="J570" s="16"/>
      <c r="K570" s="16">
        <v>0</v>
      </c>
      <c r="L570" s="16"/>
      <c r="M570" s="16">
        <v>4625</v>
      </c>
      <c r="N570" s="16"/>
      <c r="O570" s="16">
        <v>0</v>
      </c>
      <c r="P570" s="16"/>
      <c r="Q570" s="16">
        <v>1375</v>
      </c>
      <c r="R570" s="16"/>
      <c r="S570" s="16">
        <v>9127</v>
      </c>
      <c r="T570" s="16"/>
      <c r="U570" s="16">
        <v>0</v>
      </c>
      <c r="V570" s="16"/>
      <c r="W570" s="16">
        <v>0</v>
      </c>
      <c r="X570" s="16"/>
      <c r="Y570" s="16">
        <v>0</v>
      </c>
      <c r="Z570" s="16"/>
      <c r="AA570" s="16">
        <v>0</v>
      </c>
      <c r="AB570" s="16"/>
      <c r="AC570" s="16">
        <v>82</v>
      </c>
      <c r="AD570" s="16"/>
      <c r="AE570" s="16">
        <f t="shared" si="17"/>
        <v>73393</v>
      </c>
    </row>
    <row r="571" spans="1:31" ht="12.75" customHeight="1">
      <c r="A571" s="1" t="s">
        <v>741</v>
      </c>
      <c r="C571" s="1" t="s">
        <v>96</v>
      </c>
      <c r="E571" s="16">
        <v>6785</v>
      </c>
      <c r="F571" s="16"/>
      <c r="G571" s="16">
        <v>27510</v>
      </c>
      <c r="H571" s="16"/>
      <c r="I571" s="16">
        <v>38434</v>
      </c>
      <c r="J571" s="16"/>
      <c r="K571" s="16">
        <v>0</v>
      </c>
      <c r="L571" s="16"/>
      <c r="M571" s="16">
        <v>125</v>
      </c>
      <c r="N571" s="16"/>
      <c r="O571" s="16">
        <v>67</v>
      </c>
      <c r="P571" s="16"/>
      <c r="Q571" s="16">
        <v>285</v>
      </c>
      <c r="R571" s="16"/>
      <c r="S571" s="16">
        <v>1111</v>
      </c>
      <c r="T571" s="16"/>
      <c r="U571" s="16">
        <v>0</v>
      </c>
      <c r="V571" s="16"/>
      <c r="W571" s="16">
        <v>0</v>
      </c>
      <c r="X571" s="16"/>
      <c r="Y571" s="16">
        <v>1000</v>
      </c>
      <c r="Z571" s="16"/>
      <c r="AA571" s="16">
        <v>0</v>
      </c>
      <c r="AB571" s="16"/>
      <c r="AC571" s="16">
        <v>0</v>
      </c>
      <c r="AD571" s="16"/>
      <c r="AE571" s="16">
        <f t="shared" si="17"/>
        <v>75317</v>
      </c>
    </row>
    <row r="572" spans="1:31" ht="12.75" customHeight="1">
      <c r="A572" s="1" t="s">
        <v>391</v>
      </c>
      <c r="B572" s="1"/>
      <c r="C572" s="1" t="s">
        <v>96</v>
      </c>
      <c r="D572" s="16"/>
      <c r="E572" s="16">
        <v>134234</v>
      </c>
      <c r="F572" s="16"/>
      <c r="G572" s="16">
        <v>0</v>
      </c>
      <c r="H572" s="16"/>
      <c r="I572" s="16">
        <v>205800</v>
      </c>
      <c r="J572" s="16"/>
      <c r="K572" s="16">
        <v>0</v>
      </c>
      <c r="L572" s="16"/>
      <c r="M572" s="16">
        <v>85906</v>
      </c>
      <c r="N572" s="16"/>
      <c r="O572" s="16">
        <v>7680</v>
      </c>
      <c r="P572" s="16"/>
      <c r="Q572" s="16">
        <v>10303</v>
      </c>
      <c r="R572" s="16"/>
      <c r="S572" s="16">
        <v>110019</v>
      </c>
      <c r="T572" s="16"/>
      <c r="U572" s="16">
        <v>0</v>
      </c>
      <c r="V572" s="16"/>
      <c r="W572" s="16">
        <v>0</v>
      </c>
      <c r="X572" s="16"/>
      <c r="Y572" s="16">
        <v>240000</v>
      </c>
      <c r="Z572" s="16"/>
      <c r="AA572" s="16">
        <v>0</v>
      </c>
      <c r="AB572" s="16"/>
      <c r="AC572" s="16">
        <v>0</v>
      </c>
      <c r="AD572" s="16"/>
      <c r="AE572" s="16">
        <f t="shared" si="17"/>
        <v>793942</v>
      </c>
    </row>
    <row r="573" spans="1:31" ht="12.75" customHeight="1">
      <c r="A573" s="1" t="s">
        <v>392</v>
      </c>
      <c r="B573" s="1"/>
      <c r="C573" s="1" t="s">
        <v>69</v>
      </c>
      <c r="D573" s="16"/>
      <c r="E573" s="16">
        <v>418407</v>
      </c>
      <c r="F573" s="16"/>
      <c r="G573" s="16">
        <v>0</v>
      </c>
      <c r="H573" s="16"/>
      <c r="I573" s="16">
        <v>572405</v>
      </c>
      <c r="J573" s="16"/>
      <c r="K573" s="16">
        <v>0</v>
      </c>
      <c r="L573" s="16"/>
      <c r="M573" s="16">
        <v>17779</v>
      </c>
      <c r="N573" s="16"/>
      <c r="O573" s="16">
        <v>1390</v>
      </c>
      <c r="P573" s="16"/>
      <c r="Q573" s="16">
        <v>1129</v>
      </c>
      <c r="R573" s="16"/>
      <c r="S573" s="16">
        <v>7365</v>
      </c>
      <c r="T573" s="16"/>
      <c r="U573" s="16">
        <v>450000</v>
      </c>
      <c r="V573" s="16"/>
      <c r="W573" s="16">
        <v>0</v>
      </c>
      <c r="X573" s="16"/>
      <c r="Y573" s="16">
        <v>33000</v>
      </c>
      <c r="Z573" s="16"/>
      <c r="AA573" s="16">
        <v>0</v>
      </c>
      <c r="AB573" s="16"/>
      <c r="AC573" s="16">
        <v>3352</v>
      </c>
      <c r="AD573" s="16"/>
      <c r="AE573" s="16">
        <f t="shared" si="17"/>
        <v>1504827</v>
      </c>
    </row>
    <row r="574" spans="1:31" ht="12.75" customHeight="1">
      <c r="A574" s="1" t="s">
        <v>393</v>
      </c>
      <c r="B574" s="1"/>
      <c r="C574" s="1" t="s">
        <v>190</v>
      </c>
      <c r="D574" s="16"/>
      <c r="E574" s="16">
        <v>558245</v>
      </c>
      <c r="F574" s="16"/>
      <c r="G574" s="16">
        <v>875</v>
      </c>
      <c r="H574" s="16"/>
      <c r="I574" s="16">
        <v>437276</v>
      </c>
      <c r="J574" s="16"/>
      <c r="K574" s="16">
        <v>1943</v>
      </c>
      <c r="L574" s="16"/>
      <c r="M574" s="16">
        <v>3771</v>
      </c>
      <c r="N574" s="16"/>
      <c r="O574" s="16">
        <v>24720</v>
      </c>
      <c r="P574" s="16"/>
      <c r="Q574" s="16">
        <v>21194</v>
      </c>
      <c r="R574" s="16"/>
      <c r="S574" s="16">
        <v>2213</v>
      </c>
      <c r="T574" s="16"/>
      <c r="U574" s="16">
        <v>0</v>
      </c>
      <c r="V574" s="16"/>
      <c r="W574" s="16">
        <v>0</v>
      </c>
      <c r="X574" s="16"/>
      <c r="Y574" s="16">
        <v>23000</v>
      </c>
      <c r="Z574" s="16"/>
      <c r="AA574" s="16">
        <v>0</v>
      </c>
      <c r="AB574" s="16"/>
      <c r="AC574" s="16">
        <v>0</v>
      </c>
      <c r="AD574" s="16"/>
      <c r="AE574" s="16">
        <f t="shared" si="17"/>
        <v>1073237</v>
      </c>
    </row>
    <row r="575" spans="1:31" ht="12.75" customHeight="1">
      <c r="A575" s="1" t="s">
        <v>693</v>
      </c>
      <c r="C575" s="1" t="s">
        <v>137</v>
      </c>
      <c r="E575" s="16">
        <v>43755</v>
      </c>
      <c r="F575" s="16"/>
      <c r="G575" s="16">
        <v>0</v>
      </c>
      <c r="H575" s="16"/>
      <c r="I575" s="16">
        <v>63159</v>
      </c>
      <c r="J575" s="16"/>
      <c r="K575" s="16">
        <v>0</v>
      </c>
      <c r="L575" s="16"/>
      <c r="M575" s="16">
        <v>0</v>
      </c>
      <c r="N575" s="16"/>
      <c r="O575" s="16">
        <v>2313</v>
      </c>
      <c r="P575" s="16"/>
      <c r="Q575" s="16">
        <v>4473</v>
      </c>
      <c r="R575" s="16"/>
      <c r="S575" s="16">
        <v>0</v>
      </c>
      <c r="T575" s="16"/>
      <c r="U575" s="16">
        <v>0</v>
      </c>
      <c r="V575" s="16"/>
      <c r="W575" s="16">
        <v>0</v>
      </c>
      <c r="X575" s="16"/>
      <c r="Y575" s="16">
        <v>0</v>
      </c>
      <c r="Z575" s="16"/>
      <c r="AA575" s="16">
        <v>0</v>
      </c>
      <c r="AB575" s="16"/>
      <c r="AC575" s="16">
        <v>0</v>
      </c>
      <c r="AD575" s="16"/>
      <c r="AE575" s="16">
        <f t="shared" si="17"/>
        <v>113700</v>
      </c>
    </row>
    <row r="576" spans="1:31" ht="12.75" customHeight="1">
      <c r="A576" s="1" t="s">
        <v>535</v>
      </c>
      <c r="C576" s="1" t="s">
        <v>98</v>
      </c>
      <c r="E576" s="16">
        <v>22192</v>
      </c>
      <c r="F576" s="16"/>
      <c r="G576" s="16">
        <v>80321</v>
      </c>
      <c r="H576" s="16"/>
      <c r="I576" s="16">
        <v>79359</v>
      </c>
      <c r="J576" s="16"/>
      <c r="K576" s="16">
        <v>0</v>
      </c>
      <c r="L576" s="16"/>
      <c r="M576" s="16">
        <v>0</v>
      </c>
      <c r="N576" s="16"/>
      <c r="O576" s="16">
        <v>6256</v>
      </c>
      <c r="P576" s="16"/>
      <c r="Q576" s="16">
        <v>1773</v>
      </c>
      <c r="R576" s="16"/>
      <c r="S576" s="16">
        <v>450</v>
      </c>
      <c r="T576" s="16"/>
      <c r="U576" s="16">
        <v>0</v>
      </c>
      <c r="V576" s="16"/>
      <c r="W576" s="16">
        <v>0</v>
      </c>
      <c r="X576" s="16"/>
      <c r="Y576" s="16">
        <v>0</v>
      </c>
      <c r="Z576" s="16"/>
      <c r="AA576" s="16">
        <v>0</v>
      </c>
      <c r="AB576" s="16"/>
      <c r="AC576" s="16">
        <v>0</v>
      </c>
      <c r="AD576" s="16"/>
      <c r="AE576" s="16">
        <f t="shared" si="17"/>
        <v>190351</v>
      </c>
    </row>
    <row r="577" spans="1:31" ht="12.75" customHeight="1">
      <c r="A577" s="1" t="s">
        <v>394</v>
      </c>
      <c r="B577" s="1"/>
      <c r="C577" s="1" t="s">
        <v>96</v>
      </c>
      <c r="D577" s="16"/>
      <c r="E577" s="16">
        <v>370097</v>
      </c>
      <c r="F577" s="16"/>
      <c r="G577" s="16">
        <f>691274-76040</f>
        <v>615234</v>
      </c>
      <c r="H577" s="16"/>
      <c r="I577" s="16">
        <f>307957-46254</f>
        <v>261703</v>
      </c>
      <c r="J577" s="16"/>
      <c r="K577" s="16">
        <v>0</v>
      </c>
      <c r="L577" s="16"/>
      <c r="M577" s="16">
        <v>84365</v>
      </c>
      <c r="N577" s="16"/>
      <c r="O577" s="16">
        <v>4534</v>
      </c>
      <c r="P577" s="16"/>
      <c r="Q577" s="16">
        <f>21530-712</f>
        <v>20818</v>
      </c>
      <c r="R577" s="16"/>
      <c r="S577" s="16">
        <f>29352-10000</f>
        <v>19352</v>
      </c>
      <c r="T577" s="16"/>
      <c r="U577" s="16">
        <v>278000</v>
      </c>
      <c r="V577" s="16"/>
      <c r="W577" s="16">
        <v>1000</v>
      </c>
      <c r="X577" s="16"/>
      <c r="Y577" s="16">
        <v>85000</v>
      </c>
      <c r="Z577" s="16"/>
      <c r="AA577" s="16">
        <v>0</v>
      </c>
      <c r="AB577" s="16"/>
      <c r="AC577" s="16">
        <v>3058</v>
      </c>
      <c r="AD577" s="16"/>
      <c r="AE577" s="16">
        <f t="shared" si="17"/>
        <v>1743161</v>
      </c>
    </row>
    <row r="578" spans="1:31" ht="12.75" customHeight="1">
      <c r="A578" s="1" t="s">
        <v>672</v>
      </c>
      <c r="C578" s="1" t="s">
        <v>104</v>
      </c>
      <c r="E578" s="16">
        <v>10172</v>
      </c>
      <c r="F578" s="16"/>
      <c r="G578" s="16">
        <v>0</v>
      </c>
      <c r="H578" s="16"/>
      <c r="I578" s="16">
        <v>21489</v>
      </c>
      <c r="J578" s="16"/>
      <c r="K578" s="16">
        <v>0</v>
      </c>
      <c r="L578" s="16"/>
      <c r="M578" s="16">
        <v>450</v>
      </c>
      <c r="N578" s="16"/>
      <c r="O578" s="16">
        <v>0</v>
      </c>
      <c r="P578" s="16"/>
      <c r="Q578" s="16">
        <v>122</v>
      </c>
      <c r="R578" s="16"/>
      <c r="S578" s="16">
        <v>0</v>
      </c>
      <c r="T578" s="16"/>
      <c r="U578" s="16">
        <v>39494</v>
      </c>
      <c r="V578" s="16"/>
      <c r="W578" s="16">
        <v>0</v>
      </c>
      <c r="X578" s="16"/>
      <c r="Y578" s="16">
        <v>800</v>
      </c>
      <c r="Z578" s="16"/>
      <c r="AA578" s="16">
        <v>0</v>
      </c>
      <c r="AB578" s="16"/>
      <c r="AC578" s="16">
        <v>0</v>
      </c>
      <c r="AD578" s="16"/>
      <c r="AE578" s="16">
        <f t="shared" si="17"/>
        <v>72527</v>
      </c>
    </row>
    <row r="579" spans="1:31" ht="12.75" customHeight="1">
      <c r="A579" s="1" t="s">
        <v>510</v>
      </c>
      <c r="C579" s="1" t="s">
        <v>414</v>
      </c>
      <c r="E579" s="16">
        <v>7868</v>
      </c>
      <c r="F579" s="16"/>
      <c r="G579" s="16">
        <v>0</v>
      </c>
      <c r="H579" s="16"/>
      <c r="I579" s="16">
        <v>18345</v>
      </c>
      <c r="J579" s="16"/>
      <c r="K579" s="16">
        <v>0</v>
      </c>
      <c r="L579" s="16"/>
      <c r="M579" s="16">
        <v>0</v>
      </c>
      <c r="N579" s="16"/>
      <c r="O579" s="16">
        <v>8075</v>
      </c>
      <c r="P579" s="16"/>
      <c r="Q579" s="16">
        <v>17</v>
      </c>
      <c r="R579" s="16"/>
      <c r="S579" s="16">
        <v>518</v>
      </c>
      <c r="T579" s="16"/>
      <c r="U579" s="16">
        <v>0</v>
      </c>
      <c r="V579" s="16"/>
      <c r="W579" s="16">
        <v>0</v>
      </c>
      <c r="X579" s="16"/>
      <c r="Y579" s="16">
        <v>0</v>
      </c>
      <c r="Z579" s="16"/>
      <c r="AA579" s="16">
        <v>0</v>
      </c>
      <c r="AB579" s="16"/>
      <c r="AC579" s="16">
        <v>0</v>
      </c>
      <c r="AD579" s="16"/>
      <c r="AE579" s="16">
        <f t="shared" si="17"/>
        <v>34823</v>
      </c>
    </row>
    <row r="580" spans="1:31" ht="12.75" customHeight="1">
      <c r="A580" s="1" t="s">
        <v>395</v>
      </c>
      <c r="B580" s="1"/>
      <c r="C580" s="1" t="s">
        <v>90</v>
      </c>
      <c r="D580" s="16"/>
      <c r="E580" s="16">
        <v>244914</v>
      </c>
      <c r="F580" s="16"/>
      <c r="G580" s="16">
        <v>1439615</v>
      </c>
      <c r="H580" s="16"/>
      <c r="I580" s="16">
        <v>419920</v>
      </c>
      <c r="J580" s="16"/>
      <c r="K580" s="16">
        <v>0</v>
      </c>
      <c r="L580" s="16"/>
      <c r="M580" s="16">
        <v>86125</v>
      </c>
      <c r="N580" s="16"/>
      <c r="O580" s="16">
        <v>137591</v>
      </c>
      <c r="P580" s="16"/>
      <c r="Q580" s="16">
        <v>10229</v>
      </c>
      <c r="R580" s="16"/>
      <c r="S580" s="16">
        <v>200318</v>
      </c>
      <c r="T580" s="16"/>
      <c r="U580" s="16">
        <v>1525000</v>
      </c>
      <c r="V580" s="16"/>
      <c r="W580" s="16">
        <v>0</v>
      </c>
      <c r="X580" s="16"/>
      <c r="Y580" s="16">
        <v>0</v>
      </c>
      <c r="Z580" s="16"/>
      <c r="AA580" s="16">
        <v>0</v>
      </c>
      <c r="AB580" s="16"/>
      <c r="AC580" s="16">
        <v>0</v>
      </c>
      <c r="AD580" s="16"/>
      <c r="AE580" s="16">
        <f t="shared" si="17"/>
        <v>4063712</v>
      </c>
    </row>
    <row r="581" spans="1:31" ht="12.75" customHeight="1">
      <c r="A581" s="1" t="s">
        <v>396</v>
      </c>
      <c r="B581" s="1"/>
      <c r="C581" s="1" t="s">
        <v>87</v>
      </c>
      <c r="D581" s="16"/>
      <c r="E581" s="16">
        <f>110197+176830</f>
        <v>287027</v>
      </c>
      <c r="F581" s="16"/>
      <c r="G581" s="16">
        <v>0</v>
      </c>
      <c r="H581" s="16"/>
      <c r="I581" s="16">
        <f>168980+101900+207064</f>
        <v>477944</v>
      </c>
      <c r="J581" s="16"/>
      <c r="K581" s="16">
        <v>59405</v>
      </c>
      <c r="L581" s="16"/>
      <c r="M581" s="16">
        <f>48372+3706</f>
        <v>52078</v>
      </c>
      <c r="N581" s="16"/>
      <c r="O581" s="16">
        <f>69702+7500</f>
        <v>77202</v>
      </c>
      <c r="P581" s="16"/>
      <c r="Q581" s="16">
        <f>5586+16758</f>
        <v>22344</v>
      </c>
      <c r="R581" s="16"/>
      <c r="S581" s="16">
        <f>12593+26078</f>
        <v>38671</v>
      </c>
      <c r="T581" s="16"/>
      <c r="U581" s="16">
        <v>490000</v>
      </c>
      <c r="V581" s="16"/>
      <c r="W581" s="16">
        <v>0</v>
      </c>
      <c r="X581" s="16"/>
      <c r="Y581" s="16">
        <v>1000000</v>
      </c>
      <c r="Z581" s="16"/>
      <c r="AA581" s="16">
        <v>40000</v>
      </c>
      <c r="AB581" s="16"/>
      <c r="AC581" s="16">
        <v>0</v>
      </c>
      <c r="AD581" s="16"/>
      <c r="AE581" s="16">
        <f t="shared" si="17"/>
        <v>2544671</v>
      </c>
    </row>
    <row r="582" spans="1:31" ht="12.75" customHeight="1">
      <c r="A582" s="1" t="s">
        <v>781</v>
      </c>
      <c r="C582" s="1" t="s">
        <v>151</v>
      </c>
      <c r="E582" s="16">
        <v>79307</v>
      </c>
      <c r="F582" s="16"/>
      <c r="G582" s="16">
        <v>153663</v>
      </c>
      <c r="H582" s="16"/>
      <c r="I582" s="16">
        <v>110511</v>
      </c>
      <c r="J582" s="16"/>
      <c r="K582" s="16">
        <v>0</v>
      </c>
      <c r="L582" s="16"/>
      <c r="M582" s="16">
        <v>90390</v>
      </c>
      <c r="N582" s="16"/>
      <c r="O582" s="16">
        <v>4412</v>
      </c>
      <c r="P582" s="16"/>
      <c r="Q582" s="16">
        <v>9099</v>
      </c>
      <c r="R582" s="16"/>
      <c r="S582" s="16">
        <v>290829</v>
      </c>
      <c r="T582" s="16"/>
      <c r="U582" s="16">
        <v>0</v>
      </c>
      <c r="V582" s="16"/>
      <c r="W582" s="16">
        <v>0</v>
      </c>
      <c r="X582" s="16"/>
      <c r="Y582" s="16">
        <v>111531</v>
      </c>
      <c r="Z582" s="16"/>
      <c r="AA582" s="16">
        <v>15000</v>
      </c>
      <c r="AB582" s="16"/>
      <c r="AC582" s="16">
        <v>0</v>
      </c>
      <c r="AD582" s="16"/>
      <c r="AE582" s="16">
        <f t="shared" si="17"/>
        <v>864742</v>
      </c>
    </row>
    <row r="583" spans="1:31" ht="12.75" customHeight="1">
      <c r="A583" s="1" t="s">
        <v>649</v>
      </c>
      <c r="C583" s="1" t="s">
        <v>372</v>
      </c>
      <c r="E583" s="16">
        <v>42719</v>
      </c>
      <c r="F583" s="16"/>
      <c r="G583" s="16">
        <v>0</v>
      </c>
      <c r="H583" s="16"/>
      <c r="I583" s="16">
        <v>80595</v>
      </c>
      <c r="J583" s="16"/>
      <c r="K583" s="16">
        <v>0</v>
      </c>
      <c r="L583" s="16"/>
      <c r="M583" s="16">
        <v>11799</v>
      </c>
      <c r="N583" s="16"/>
      <c r="O583" s="16">
        <v>19346</v>
      </c>
      <c r="P583" s="16"/>
      <c r="Q583" s="16">
        <v>1897</v>
      </c>
      <c r="R583" s="16"/>
      <c r="S583" s="16">
        <v>52551</v>
      </c>
      <c r="T583" s="16"/>
      <c r="U583" s="16">
        <v>0</v>
      </c>
      <c r="V583" s="16"/>
      <c r="W583" s="16">
        <v>0</v>
      </c>
      <c r="X583" s="16"/>
      <c r="Y583" s="16">
        <v>0</v>
      </c>
      <c r="Z583" s="16"/>
      <c r="AA583" s="16">
        <v>24503</v>
      </c>
      <c r="AB583" s="16"/>
      <c r="AC583" s="16">
        <v>0</v>
      </c>
      <c r="AD583" s="16"/>
      <c r="AE583" s="16">
        <f t="shared" si="17"/>
        <v>233410</v>
      </c>
    </row>
    <row r="584" spans="1:31" ht="12.75" customHeight="1">
      <c r="A584" s="1" t="s">
        <v>688</v>
      </c>
      <c r="C584" s="1" t="s">
        <v>184</v>
      </c>
      <c r="E584" s="16">
        <v>7008</v>
      </c>
      <c r="F584" s="16"/>
      <c r="G584" s="16">
        <v>0</v>
      </c>
      <c r="H584" s="16"/>
      <c r="I584" s="16">
        <v>36924</v>
      </c>
      <c r="J584" s="16"/>
      <c r="K584" s="16">
        <v>0</v>
      </c>
      <c r="L584" s="16"/>
      <c r="M584" s="16">
        <v>0</v>
      </c>
      <c r="N584" s="16"/>
      <c r="O584" s="16">
        <v>0</v>
      </c>
      <c r="P584" s="16"/>
      <c r="Q584" s="16">
        <v>542</v>
      </c>
      <c r="R584" s="16"/>
      <c r="S584" s="16">
        <v>4947</v>
      </c>
      <c r="T584" s="16"/>
      <c r="U584" s="16">
        <v>0</v>
      </c>
      <c r="V584" s="16"/>
      <c r="W584" s="16">
        <v>0</v>
      </c>
      <c r="X584" s="16"/>
      <c r="Y584" s="16">
        <v>6000</v>
      </c>
      <c r="Z584" s="16"/>
      <c r="AA584" s="16">
        <v>0</v>
      </c>
      <c r="AB584" s="16"/>
      <c r="AC584" s="16">
        <v>0</v>
      </c>
      <c r="AD584" s="16"/>
      <c r="AE584" s="16">
        <f t="shared" si="17"/>
        <v>55421</v>
      </c>
    </row>
    <row r="585" spans="1:31" ht="12.75" customHeight="1">
      <c r="A585" s="1" t="s">
        <v>397</v>
      </c>
      <c r="B585" s="1"/>
      <c r="C585" s="1" t="s">
        <v>73</v>
      </c>
      <c r="D585" s="16"/>
      <c r="E585" s="16">
        <v>811548</v>
      </c>
      <c r="F585" s="16"/>
      <c r="G585" s="16">
        <v>0</v>
      </c>
      <c r="H585" s="16"/>
      <c r="I585" s="16">
        <v>572945</v>
      </c>
      <c r="J585" s="16"/>
      <c r="K585" s="16">
        <v>38713</v>
      </c>
      <c r="L585" s="16"/>
      <c r="M585" s="16">
        <v>0</v>
      </c>
      <c r="N585" s="16"/>
      <c r="O585" s="16">
        <v>101790</v>
      </c>
      <c r="P585" s="16"/>
      <c r="Q585" s="16">
        <v>11762</v>
      </c>
      <c r="R585" s="16"/>
      <c r="S585" s="16">
        <v>11925</v>
      </c>
      <c r="T585" s="16"/>
      <c r="U585" s="16">
        <v>0</v>
      </c>
      <c r="V585" s="16"/>
      <c r="W585" s="16">
        <v>0</v>
      </c>
      <c r="X585" s="16"/>
      <c r="Y585" s="16">
        <v>0</v>
      </c>
      <c r="Z585" s="16"/>
      <c r="AA585" s="16">
        <v>0</v>
      </c>
      <c r="AB585" s="16"/>
      <c r="AC585" s="16">
        <v>807</v>
      </c>
      <c r="AD585" s="16"/>
      <c r="AE585" s="16">
        <f t="shared" si="17"/>
        <v>1549490</v>
      </c>
    </row>
    <row r="586" spans="1:31" ht="12.75" customHeight="1">
      <c r="A586" s="1" t="s">
        <v>398</v>
      </c>
      <c r="B586" s="1"/>
      <c r="C586" s="1" t="s">
        <v>179</v>
      </c>
      <c r="D586" s="16"/>
      <c r="E586" s="16">
        <v>100460</v>
      </c>
      <c r="F586" s="16"/>
      <c r="G586" s="16">
        <v>0</v>
      </c>
      <c r="H586" s="16"/>
      <c r="I586" s="16">
        <v>68257</v>
      </c>
      <c r="J586" s="16"/>
      <c r="K586" s="16">
        <v>0</v>
      </c>
      <c r="L586" s="16"/>
      <c r="M586" s="16">
        <v>100750</v>
      </c>
      <c r="N586" s="16"/>
      <c r="O586" s="16">
        <v>6271</v>
      </c>
      <c r="P586" s="16"/>
      <c r="Q586" s="16">
        <f>515+40</f>
        <v>555</v>
      </c>
      <c r="R586" s="16"/>
      <c r="S586" s="16">
        <v>22771</v>
      </c>
      <c r="T586" s="16"/>
      <c r="U586" s="16">
        <v>0</v>
      </c>
      <c r="V586" s="16"/>
      <c r="W586" s="16">
        <v>0</v>
      </c>
      <c r="X586" s="16"/>
      <c r="Y586" s="16">
        <v>0</v>
      </c>
      <c r="Z586" s="16"/>
      <c r="AA586" s="16">
        <v>0</v>
      </c>
      <c r="AB586" s="16"/>
      <c r="AC586" s="16">
        <v>0</v>
      </c>
      <c r="AD586" s="16"/>
      <c r="AE586" s="16">
        <f t="shared" si="17"/>
        <v>299064</v>
      </c>
    </row>
    <row r="587" spans="1:31" ht="12.75" customHeight="1">
      <c r="A587" s="1" t="s">
        <v>536</v>
      </c>
      <c r="C587" s="1" t="s">
        <v>98</v>
      </c>
      <c r="E587" s="16">
        <v>20037</v>
      </c>
      <c r="F587" s="16"/>
      <c r="G587" s="16">
        <v>0</v>
      </c>
      <c r="H587" s="16"/>
      <c r="I587" s="16">
        <v>137483</v>
      </c>
      <c r="J587" s="16"/>
      <c r="K587" s="16">
        <v>0</v>
      </c>
      <c r="L587" s="16"/>
      <c r="M587" s="16">
        <v>96326</v>
      </c>
      <c r="N587" s="16"/>
      <c r="O587" s="16">
        <v>0</v>
      </c>
      <c r="P587" s="16"/>
      <c r="Q587" s="16">
        <v>4070</v>
      </c>
      <c r="R587" s="16"/>
      <c r="S587" s="16">
        <v>3979</v>
      </c>
      <c r="T587" s="16"/>
      <c r="U587" s="16">
        <v>0</v>
      </c>
      <c r="V587" s="16"/>
      <c r="W587" s="16">
        <v>0</v>
      </c>
      <c r="X587" s="16"/>
      <c r="Y587" s="16">
        <v>29438</v>
      </c>
      <c r="Z587" s="16"/>
      <c r="AA587" s="16">
        <v>0</v>
      </c>
      <c r="AB587" s="16"/>
      <c r="AC587" s="16">
        <v>0</v>
      </c>
      <c r="AD587" s="16"/>
      <c r="AE587" s="16">
        <f t="shared" si="17"/>
        <v>291333</v>
      </c>
    </row>
    <row r="588" spans="1:31" ht="12.75" customHeight="1">
      <c r="A588" s="1" t="s">
        <v>602</v>
      </c>
      <c r="C588" s="1" t="s">
        <v>69</v>
      </c>
      <c r="E588" s="16">
        <v>121873</v>
      </c>
      <c r="F588" s="16"/>
      <c r="G588" s="16">
        <v>0</v>
      </c>
      <c r="H588" s="16"/>
      <c r="I588" s="16">
        <v>86954</v>
      </c>
      <c r="J588" s="16"/>
      <c r="K588" s="16">
        <v>14724</v>
      </c>
      <c r="L588" s="16"/>
      <c r="M588" s="16">
        <v>0</v>
      </c>
      <c r="N588" s="16"/>
      <c r="O588" s="16">
        <v>11085</v>
      </c>
      <c r="P588" s="16"/>
      <c r="Q588" s="16">
        <v>8902</v>
      </c>
      <c r="R588" s="16"/>
      <c r="S588" s="16">
        <v>24370</v>
      </c>
      <c r="T588" s="16"/>
      <c r="U588" s="16">
        <v>0</v>
      </c>
      <c r="V588" s="16"/>
      <c r="W588" s="16">
        <v>0</v>
      </c>
      <c r="X588" s="16"/>
      <c r="Y588" s="16">
        <v>20186</v>
      </c>
      <c r="Z588" s="16"/>
      <c r="AA588" s="16">
        <v>0</v>
      </c>
      <c r="AB588" s="16"/>
      <c r="AC588" s="16">
        <v>0</v>
      </c>
      <c r="AD588" s="16"/>
      <c r="AE588" s="16">
        <f t="shared" si="17"/>
        <v>288094</v>
      </c>
    </row>
    <row r="589" spans="1:31" ht="12.75" customHeight="1">
      <c r="A589" s="1" t="s">
        <v>399</v>
      </c>
      <c r="B589" s="1"/>
      <c r="C589" s="1" t="s">
        <v>197</v>
      </c>
      <c r="D589" s="16"/>
      <c r="E589" s="16">
        <f>138457</f>
        <v>138457</v>
      </c>
      <c r="F589" s="16"/>
      <c r="G589" s="16">
        <v>70082</v>
      </c>
      <c r="H589" s="16"/>
      <c r="I589" s="16">
        <f>67880+29616</f>
        <v>97496</v>
      </c>
      <c r="J589" s="16"/>
      <c r="K589" s="16">
        <v>0</v>
      </c>
      <c r="L589" s="16"/>
      <c r="M589" s="16">
        <v>8217</v>
      </c>
      <c r="N589" s="16"/>
      <c r="O589" s="16">
        <v>15323</v>
      </c>
      <c r="P589" s="16"/>
      <c r="Q589" s="16">
        <f>811+154</f>
        <v>965</v>
      </c>
      <c r="R589" s="16"/>
      <c r="S589" s="16">
        <v>14903</v>
      </c>
      <c r="T589" s="16"/>
      <c r="U589" s="16">
        <v>0</v>
      </c>
      <c r="V589" s="16"/>
      <c r="W589" s="16">
        <v>0</v>
      </c>
      <c r="X589" s="16"/>
      <c r="Y589" s="16">
        <v>0</v>
      </c>
      <c r="Z589" s="16"/>
      <c r="AA589" s="16">
        <v>0</v>
      </c>
      <c r="AB589" s="16"/>
      <c r="AC589" s="16">
        <v>0</v>
      </c>
      <c r="AD589" s="16"/>
      <c r="AE589" s="16">
        <f t="shared" si="17"/>
        <v>345443</v>
      </c>
    </row>
    <row r="590" spans="1:31" s="16" customFormat="1" ht="12.75" customHeight="1">
      <c r="A590" s="16" t="s">
        <v>514</v>
      </c>
      <c r="B590" s="41"/>
      <c r="C590" s="16" t="s">
        <v>160</v>
      </c>
      <c r="E590" s="16">
        <v>6442</v>
      </c>
      <c r="G590" s="16">
        <v>0</v>
      </c>
      <c r="I590" s="16">
        <v>20481</v>
      </c>
      <c r="K590" s="16">
        <v>0</v>
      </c>
      <c r="M590" s="16">
        <v>100</v>
      </c>
      <c r="O590" s="16">
        <v>0</v>
      </c>
      <c r="Q590" s="16">
        <v>887</v>
      </c>
      <c r="S590" s="16">
        <v>618</v>
      </c>
      <c r="U590" s="16">
        <v>0</v>
      </c>
      <c r="W590" s="16">
        <v>0</v>
      </c>
      <c r="Y590" s="16">
        <v>0</v>
      </c>
      <c r="AA590" s="16">
        <v>0</v>
      </c>
      <c r="AC590" s="16">
        <v>0</v>
      </c>
      <c r="AE590" s="16">
        <f t="shared" si="17"/>
        <v>28528</v>
      </c>
    </row>
    <row r="591" spans="1:31" ht="12.75" customHeight="1">
      <c r="A591" s="1" t="s">
        <v>400</v>
      </c>
      <c r="B591" s="1"/>
      <c r="C591" s="1" t="s">
        <v>94</v>
      </c>
      <c r="D591" s="16"/>
      <c r="E591" s="16">
        <f>4742</f>
        <v>4742</v>
      </c>
      <c r="F591" s="16"/>
      <c r="G591" s="16">
        <v>49183</v>
      </c>
      <c r="H591" s="16"/>
      <c r="I591" s="16">
        <v>26432</v>
      </c>
      <c r="J591" s="16"/>
      <c r="K591" s="16">
        <v>2444</v>
      </c>
      <c r="L591" s="16"/>
      <c r="M591" s="16">
        <v>0</v>
      </c>
      <c r="N591" s="16"/>
      <c r="O591" s="16">
        <v>625</v>
      </c>
      <c r="P591" s="16"/>
      <c r="Q591" s="16">
        <v>9856</v>
      </c>
      <c r="R591" s="16"/>
      <c r="S591" s="16">
        <v>4993</v>
      </c>
      <c r="T591" s="16"/>
      <c r="U591" s="16">
        <v>0</v>
      </c>
      <c r="V591" s="16"/>
      <c r="W591" s="16">
        <v>0</v>
      </c>
      <c r="X591" s="16"/>
      <c r="Y591" s="16">
        <v>54276</v>
      </c>
      <c r="Z591" s="16"/>
      <c r="AA591" s="16">
        <v>0</v>
      </c>
      <c r="AB591" s="16"/>
      <c r="AC591" s="16">
        <v>1235</v>
      </c>
      <c r="AD591" s="16"/>
      <c r="AE591" s="16">
        <f t="shared" si="17"/>
        <v>153786</v>
      </c>
    </row>
    <row r="592" spans="1:31" ht="12.75" customHeight="1">
      <c r="A592" s="1" t="s">
        <v>784</v>
      </c>
      <c r="B592" s="1"/>
      <c r="E592" s="1"/>
      <c r="F592" s="1"/>
      <c r="G592" s="1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20"/>
      <c r="AC592" s="16"/>
      <c r="AD592" s="20"/>
      <c r="AE592" s="32" t="s">
        <v>785</v>
      </c>
    </row>
    <row r="593" spans="1:31" s="36" customFormat="1" ht="12.75" customHeight="1">
      <c r="A593" s="36" t="s">
        <v>491</v>
      </c>
      <c r="B593" s="42"/>
      <c r="C593" s="36" t="s">
        <v>194</v>
      </c>
      <c r="E593" s="36">
        <v>45939</v>
      </c>
      <c r="G593" s="36">
        <v>0</v>
      </c>
      <c r="I593" s="36">
        <v>15378</v>
      </c>
      <c r="K593" s="36">
        <v>0</v>
      </c>
      <c r="M593" s="36">
        <v>0</v>
      </c>
      <c r="O593" s="36">
        <v>29026</v>
      </c>
      <c r="Q593" s="36">
        <v>471</v>
      </c>
      <c r="S593" s="36">
        <v>1263</v>
      </c>
      <c r="U593" s="36">
        <v>0</v>
      </c>
      <c r="W593" s="36">
        <v>0</v>
      </c>
      <c r="Y593" s="36">
        <v>0</v>
      </c>
      <c r="AA593" s="36">
        <v>0</v>
      </c>
      <c r="AC593" s="36">
        <v>0</v>
      </c>
      <c r="AE593" s="36">
        <f aca="true" t="shared" si="18" ref="AE593:AE624">SUM(E593:AC593)</f>
        <v>92077</v>
      </c>
    </row>
    <row r="594" spans="1:31" ht="12.75" customHeight="1">
      <c r="A594" s="1" t="s">
        <v>460</v>
      </c>
      <c r="B594" s="1"/>
      <c r="C594" s="1" t="s">
        <v>71</v>
      </c>
      <c r="E594" s="16">
        <v>43755</v>
      </c>
      <c r="F594" s="16"/>
      <c r="G594" s="16">
        <v>0</v>
      </c>
      <c r="H594" s="16"/>
      <c r="I594" s="16">
        <v>64135</v>
      </c>
      <c r="J594" s="16"/>
      <c r="K594" s="16">
        <v>0</v>
      </c>
      <c r="L594" s="16"/>
      <c r="M594" s="16">
        <v>0</v>
      </c>
      <c r="N594" s="16"/>
      <c r="O594" s="16">
        <v>6755</v>
      </c>
      <c r="P594" s="16"/>
      <c r="Q594" s="16">
        <v>389</v>
      </c>
      <c r="R594" s="16"/>
      <c r="S594" s="16">
        <v>28112</v>
      </c>
      <c r="T594" s="16"/>
      <c r="U594" s="16">
        <v>0</v>
      </c>
      <c r="V594" s="16"/>
      <c r="W594" s="16">
        <v>0</v>
      </c>
      <c r="X594" s="16"/>
      <c r="Y594" s="16">
        <v>0</v>
      </c>
      <c r="Z594" s="16"/>
      <c r="AA594" s="16">
        <v>0</v>
      </c>
      <c r="AB594" s="16"/>
      <c r="AC594" s="16">
        <v>0</v>
      </c>
      <c r="AD594" s="16"/>
      <c r="AE594" s="16">
        <f t="shared" si="18"/>
        <v>143146</v>
      </c>
    </row>
    <row r="595" spans="1:31" ht="12.75" customHeight="1">
      <c r="A595" s="1" t="s">
        <v>96</v>
      </c>
      <c r="C595" s="1" t="s">
        <v>96</v>
      </c>
      <c r="E595" s="16">
        <v>64091</v>
      </c>
      <c r="F595" s="16"/>
      <c r="G595" s="16">
        <v>58610</v>
      </c>
      <c r="H595" s="16"/>
      <c r="I595" s="16">
        <v>104742</v>
      </c>
      <c r="J595" s="16"/>
      <c r="K595" s="16">
        <v>0</v>
      </c>
      <c r="L595" s="16"/>
      <c r="M595" s="16">
        <v>49543</v>
      </c>
      <c r="N595" s="16"/>
      <c r="O595" s="16">
        <v>2719</v>
      </c>
      <c r="P595" s="16"/>
      <c r="Q595" s="16">
        <v>4505</v>
      </c>
      <c r="R595" s="16"/>
      <c r="S595" s="16">
        <v>12376</v>
      </c>
      <c r="T595" s="16"/>
      <c r="U595" s="16">
        <v>0</v>
      </c>
      <c r="V595" s="16"/>
      <c r="W595" s="16">
        <v>0</v>
      </c>
      <c r="X595" s="16"/>
      <c r="Y595" s="16">
        <v>0</v>
      </c>
      <c r="Z595" s="16"/>
      <c r="AA595" s="16">
        <v>20000</v>
      </c>
      <c r="AB595" s="16"/>
      <c r="AC595" s="16">
        <v>0</v>
      </c>
      <c r="AD595" s="16"/>
      <c r="AE595" s="16">
        <f t="shared" si="18"/>
        <v>316586</v>
      </c>
    </row>
    <row r="596" spans="1:31" ht="12.75" customHeight="1">
      <c r="A596" s="1" t="s">
        <v>401</v>
      </c>
      <c r="B596" s="1"/>
      <c r="C596" s="1" t="s">
        <v>78</v>
      </c>
      <c r="D596" s="16"/>
      <c r="E596" s="16">
        <v>451094</v>
      </c>
      <c r="F596" s="16"/>
      <c r="G596" s="16">
        <v>0</v>
      </c>
      <c r="H596" s="16"/>
      <c r="I596" s="16">
        <v>362330</v>
      </c>
      <c r="J596" s="16"/>
      <c r="K596" s="16">
        <v>0</v>
      </c>
      <c r="L596" s="16"/>
      <c r="M596" s="16">
        <v>613269</v>
      </c>
      <c r="N596" s="16"/>
      <c r="O596" s="16">
        <v>43046</v>
      </c>
      <c r="P596" s="16"/>
      <c r="Q596" s="16">
        <v>16472</v>
      </c>
      <c r="R596" s="16"/>
      <c r="S596" s="16">
        <v>28626</v>
      </c>
      <c r="T596" s="16"/>
      <c r="U596" s="16">
        <v>385236</v>
      </c>
      <c r="V596" s="16"/>
      <c r="W596" s="16">
        <v>1000</v>
      </c>
      <c r="X596" s="16"/>
      <c r="Y596" s="16">
        <v>82895</v>
      </c>
      <c r="Z596" s="16"/>
      <c r="AA596" s="16">
        <v>963</v>
      </c>
      <c r="AB596" s="16"/>
      <c r="AC596" s="16">
        <v>0</v>
      </c>
      <c r="AD596" s="16"/>
      <c r="AE596" s="16">
        <f t="shared" si="18"/>
        <v>1984931</v>
      </c>
    </row>
    <row r="597" spans="1:31" ht="12.75" customHeight="1">
      <c r="A597" s="1" t="s">
        <v>747</v>
      </c>
      <c r="C597" s="1" t="s">
        <v>744</v>
      </c>
      <c r="E597" s="16">
        <v>12186</v>
      </c>
      <c r="F597" s="16"/>
      <c r="G597" s="16">
        <v>0</v>
      </c>
      <c r="H597" s="16"/>
      <c r="I597" s="16">
        <v>10679</v>
      </c>
      <c r="J597" s="16"/>
      <c r="K597" s="16">
        <v>0</v>
      </c>
      <c r="L597" s="16"/>
      <c r="M597" s="16">
        <v>0</v>
      </c>
      <c r="N597" s="16"/>
      <c r="O597" s="16">
        <v>1565</v>
      </c>
      <c r="P597" s="16"/>
      <c r="Q597" s="16">
        <v>497</v>
      </c>
      <c r="R597" s="16"/>
      <c r="S597" s="16">
        <v>0</v>
      </c>
      <c r="T597" s="16"/>
      <c r="U597" s="16">
        <v>0</v>
      </c>
      <c r="V597" s="16"/>
      <c r="W597" s="16">
        <v>0</v>
      </c>
      <c r="X597" s="16"/>
      <c r="Y597" s="16">
        <v>0</v>
      </c>
      <c r="Z597" s="16"/>
      <c r="AA597" s="16">
        <v>0</v>
      </c>
      <c r="AB597" s="16"/>
      <c r="AC597" s="16">
        <v>0</v>
      </c>
      <c r="AD597" s="16"/>
      <c r="AE597" s="16">
        <f t="shared" si="18"/>
        <v>24927</v>
      </c>
    </row>
    <row r="598" spans="1:31" ht="12.75" customHeight="1">
      <c r="A598" s="1" t="s">
        <v>463</v>
      </c>
      <c r="B598" s="1"/>
      <c r="C598" s="1" t="s">
        <v>177</v>
      </c>
      <c r="E598" s="16">
        <v>7834</v>
      </c>
      <c r="F598" s="16"/>
      <c r="G598" s="16">
        <v>0</v>
      </c>
      <c r="H598" s="16"/>
      <c r="I598" s="16">
        <v>117865</v>
      </c>
      <c r="J598" s="16"/>
      <c r="K598" s="16">
        <v>0</v>
      </c>
      <c r="L598" s="16"/>
      <c r="M598" s="16">
        <v>0</v>
      </c>
      <c r="N598" s="16"/>
      <c r="O598" s="16">
        <v>0</v>
      </c>
      <c r="P598" s="16"/>
      <c r="Q598" s="16">
        <v>2304</v>
      </c>
      <c r="R598" s="16"/>
      <c r="S598" s="16">
        <v>2426</v>
      </c>
      <c r="T598" s="16"/>
      <c r="U598" s="16">
        <v>0</v>
      </c>
      <c r="V598" s="16"/>
      <c r="W598" s="16">
        <v>0</v>
      </c>
      <c r="X598" s="16"/>
      <c r="Y598" s="16">
        <v>0</v>
      </c>
      <c r="Z598" s="16"/>
      <c r="AA598" s="16">
        <v>0</v>
      </c>
      <c r="AB598" s="16"/>
      <c r="AC598" s="16">
        <v>0</v>
      </c>
      <c r="AD598" s="16"/>
      <c r="AE598" s="16">
        <f t="shared" si="18"/>
        <v>130429</v>
      </c>
    </row>
    <row r="599" spans="1:31" ht="12.75" customHeight="1">
      <c r="A599" s="1" t="s">
        <v>547</v>
      </c>
      <c r="C599" s="1" t="s">
        <v>149</v>
      </c>
      <c r="E599" s="16">
        <v>22079</v>
      </c>
      <c r="F599" s="16"/>
      <c r="G599" s="16">
        <v>277834</v>
      </c>
      <c r="H599" s="16"/>
      <c r="I599" s="16">
        <v>145934</v>
      </c>
      <c r="J599" s="16"/>
      <c r="K599" s="16">
        <v>0</v>
      </c>
      <c r="L599" s="16"/>
      <c r="M599" s="16">
        <v>0</v>
      </c>
      <c r="N599" s="16"/>
      <c r="O599" s="16">
        <v>123844</v>
      </c>
      <c r="P599" s="16"/>
      <c r="Q599" s="16">
        <v>18825</v>
      </c>
      <c r="R599" s="16"/>
      <c r="S599" s="16">
        <v>20691</v>
      </c>
      <c r="T599" s="16"/>
      <c r="U599" s="16">
        <v>0</v>
      </c>
      <c r="V599" s="16"/>
      <c r="W599" s="16">
        <v>0</v>
      </c>
      <c r="X599" s="16"/>
      <c r="Y599" s="16">
        <v>50440</v>
      </c>
      <c r="Z599" s="16"/>
      <c r="AA599" s="16">
        <v>0</v>
      </c>
      <c r="AB599" s="16"/>
      <c r="AC599" s="16">
        <v>0</v>
      </c>
      <c r="AD599" s="16"/>
      <c r="AE599" s="16">
        <f t="shared" si="18"/>
        <v>659647</v>
      </c>
    </row>
    <row r="600" spans="1:31" ht="12.75" customHeight="1">
      <c r="A600" s="1" t="s">
        <v>402</v>
      </c>
      <c r="B600" s="1"/>
      <c r="C600" s="1" t="s">
        <v>231</v>
      </c>
      <c r="D600" s="16"/>
      <c r="E600" s="16">
        <v>73606</v>
      </c>
      <c r="F600" s="16"/>
      <c r="G600" s="16">
        <v>468733</v>
      </c>
      <c r="H600" s="16"/>
      <c r="I600" s="16">
        <v>158912</v>
      </c>
      <c r="J600" s="16"/>
      <c r="K600" s="16">
        <v>0</v>
      </c>
      <c r="L600" s="16"/>
      <c r="M600" s="16">
        <v>7450</v>
      </c>
      <c r="N600" s="16"/>
      <c r="O600" s="16">
        <v>34998</v>
      </c>
      <c r="P600" s="16"/>
      <c r="Q600" s="16">
        <v>25684</v>
      </c>
      <c r="R600" s="16"/>
      <c r="S600" s="16">
        <v>37548</v>
      </c>
      <c r="T600" s="16"/>
      <c r="U600" s="16">
        <v>0</v>
      </c>
      <c r="V600" s="16"/>
      <c r="W600" s="16">
        <v>0</v>
      </c>
      <c r="X600" s="16"/>
      <c r="Y600" s="16">
        <v>307650</v>
      </c>
      <c r="Z600" s="16"/>
      <c r="AA600" s="16">
        <v>0</v>
      </c>
      <c r="AB600" s="16"/>
      <c r="AC600" s="16">
        <v>0</v>
      </c>
      <c r="AD600" s="16"/>
      <c r="AE600" s="16">
        <f t="shared" si="18"/>
        <v>1114581</v>
      </c>
    </row>
    <row r="601" spans="1:31" ht="12.75" customHeight="1">
      <c r="A601" s="1" t="s">
        <v>403</v>
      </c>
      <c r="B601" s="1"/>
      <c r="C601" s="1" t="s">
        <v>369</v>
      </c>
      <c r="D601" s="16"/>
      <c r="E601" s="16">
        <f>5714+1338</f>
        <v>7052</v>
      </c>
      <c r="F601" s="16"/>
      <c r="G601" s="16">
        <v>31536</v>
      </c>
      <c r="H601" s="16"/>
      <c r="I601" s="16">
        <f>995+5250</f>
        <v>6245</v>
      </c>
      <c r="J601" s="16"/>
      <c r="K601" s="16">
        <v>0</v>
      </c>
      <c r="L601" s="16"/>
      <c r="M601" s="16">
        <v>0</v>
      </c>
      <c r="N601" s="16"/>
      <c r="O601" s="16">
        <v>950</v>
      </c>
      <c r="P601" s="16"/>
      <c r="Q601" s="16">
        <f>634+78</f>
        <v>712</v>
      </c>
      <c r="R601" s="16"/>
      <c r="S601" s="16">
        <v>0</v>
      </c>
      <c r="T601" s="16"/>
      <c r="U601" s="16">
        <v>0</v>
      </c>
      <c r="V601" s="16"/>
      <c r="W601" s="16">
        <v>0</v>
      </c>
      <c r="X601" s="16"/>
      <c r="Y601" s="16">
        <v>0</v>
      </c>
      <c r="Z601" s="16"/>
      <c r="AA601" s="16">
        <v>0</v>
      </c>
      <c r="AB601" s="16"/>
      <c r="AC601" s="16">
        <v>0</v>
      </c>
      <c r="AD601" s="16"/>
      <c r="AE601" s="16">
        <f t="shared" si="18"/>
        <v>46495</v>
      </c>
    </row>
    <row r="602" spans="1:31" ht="12.75" customHeight="1">
      <c r="A602" s="1" t="s">
        <v>404</v>
      </c>
      <c r="B602" s="1"/>
      <c r="C602" s="1" t="s">
        <v>112</v>
      </c>
      <c r="D602" s="16"/>
      <c r="E602" s="16">
        <f>1392933</f>
        <v>1392933</v>
      </c>
      <c r="F602" s="16"/>
      <c r="G602" s="16">
        <v>8531367</v>
      </c>
      <c r="H602" s="16"/>
      <c r="I602" s="16">
        <v>854068</v>
      </c>
      <c r="J602" s="16"/>
      <c r="K602" s="16">
        <v>271808</v>
      </c>
      <c r="L602" s="16"/>
      <c r="M602" s="16">
        <v>140403</v>
      </c>
      <c r="N602" s="16"/>
      <c r="O602" s="16">
        <v>145878</v>
      </c>
      <c r="P602" s="16"/>
      <c r="Q602" s="16">
        <v>72919</v>
      </c>
      <c r="R602" s="16"/>
      <c r="S602" s="16">
        <v>38315</v>
      </c>
      <c r="T602" s="16"/>
      <c r="U602" s="16">
        <v>0</v>
      </c>
      <c r="V602" s="16"/>
      <c r="W602" s="16">
        <v>0</v>
      </c>
      <c r="X602" s="16"/>
      <c r="Y602" s="16">
        <v>2565009</v>
      </c>
      <c r="Z602" s="16"/>
      <c r="AA602" s="16">
        <v>0</v>
      </c>
      <c r="AB602" s="16"/>
      <c r="AC602" s="16">
        <v>0</v>
      </c>
      <c r="AD602" s="16"/>
      <c r="AE602" s="16">
        <f t="shared" si="18"/>
        <v>14012700</v>
      </c>
    </row>
    <row r="603" spans="1:31" ht="12.75" customHeight="1">
      <c r="A603" s="1" t="s">
        <v>548</v>
      </c>
      <c r="C603" s="1" t="s">
        <v>149</v>
      </c>
      <c r="E603" s="16">
        <v>161400</v>
      </c>
      <c r="F603" s="16"/>
      <c r="G603" s="16">
        <v>0</v>
      </c>
      <c r="H603" s="16"/>
      <c r="I603" s="16">
        <v>99772</v>
      </c>
      <c r="J603" s="16"/>
      <c r="K603" s="16">
        <v>0</v>
      </c>
      <c r="L603" s="16"/>
      <c r="M603" s="16">
        <v>0</v>
      </c>
      <c r="N603" s="16"/>
      <c r="O603" s="16">
        <v>31561</v>
      </c>
      <c r="P603" s="16"/>
      <c r="Q603" s="16">
        <v>178</v>
      </c>
      <c r="R603" s="16"/>
      <c r="S603" s="16">
        <v>8415</v>
      </c>
      <c r="T603" s="16"/>
      <c r="U603" s="16">
        <v>0</v>
      </c>
      <c r="V603" s="16"/>
      <c r="W603" s="16">
        <v>0</v>
      </c>
      <c r="X603" s="16"/>
      <c r="Y603" s="16">
        <v>0</v>
      </c>
      <c r="Z603" s="16"/>
      <c r="AA603" s="16">
        <v>0</v>
      </c>
      <c r="AB603" s="16"/>
      <c r="AC603" s="16">
        <v>0</v>
      </c>
      <c r="AD603" s="16"/>
      <c r="AE603" s="16">
        <f t="shared" si="18"/>
        <v>301326</v>
      </c>
    </row>
    <row r="604" spans="1:31" ht="12.75" customHeight="1">
      <c r="A604" s="1" t="s">
        <v>405</v>
      </c>
      <c r="B604" s="1"/>
      <c r="C604" s="1" t="s">
        <v>114</v>
      </c>
      <c r="D604" s="16"/>
      <c r="E604" s="16">
        <v>16280</v>
      </c>
      <c r="F604" s="16"/>
      <c r="G604" s="16">
        <v>0</v>
      </c>
      <c r="H604" s="16"/>
      <c r="I604" s="16">
        <f>48899+15198+27942+2480817</f>
        <v>2572856</v>
      </c>
      <c r="J604" s="16"/>
      <c r="K604" s="16">
        <f>5279+37252</f>
        <v>42531</v>
      </c>
      <c r="L604" s="16"/>
      <c r="M604" s="16">
        <v>0</v>
      </c>
      <c r="N604" s="16"/>
      <c r="O604" s="16">
        <v>2380</v>
      </c>
      <c r="P604" s="16"/>
      <c r="Q604" s="16">
        <f>1593+647</f>
        <v>2240</v>
      </c>
      <c r="R604" s="16"/>
      <c r="S604" s="16">
        <f>9242+49610</f>
        <v>58852</v>
      </c>
      <c r="T604" s="16"/>
      <c r="U604" s="16">
        <v>0</v>
      </c>
      <c r="V604" s="16"/>
      <c r="W604" s="16">
        <v>0</v>
      </c>
      <c r="X604" s="16"/>
      <c r="Y604" s="16">
        <v>15000</v>
      </c>
      <c r="Z604" s="16"/>
      <c r="AA604" s="16">
        <v>0</v>
      </c>
      <c r="AB604" s="16"/>
      <c r="AC604" s="16">
        <v>0</v>
      </c>
      <c r="AD604" s="16"/>
      <c r="AE604" s="16">
        <f t="shared" si="18"/>
        <v>2710139</v>
      </c>
    </row>
    <row r="605" spans="1:31" ht="12.75" customHeight="1">
      <c r="A605" s="1" t="s">
        <v>574</v>
      </c>
      <c r="C605" s="1" t="s">
        <v>114</v>
      </c>
      <c r="E605" s="16">
        <v>7221</v>
      </c>
      <c r="F605" s="16"/>
      <c r="G605" s="16">
        <v>0</v>
      </c>
      <c r="H605" s="16"/>
      <c r="I605" s="16">
        <v>63853</v>
      </c>
      <c r="J605" s="16"/>
      <c r="K605" s="16">
        <v>3813</v>
      </c>
      <c r="L605" s="16"/>
      <c r="M605" s="16">
        <v>0</v>
      </c>
      <c r="N605" s="16"/>
      <c r="O605" s="16">
        <v>600</v>
      </c>
      <c r="P605" s="16"/>
      <c r="Q605" s="16">
        <v>1976</v>
      </c>
      <c r="R605" s="16"/>
      <c r="S605" s="16">
        <v>6985</v>
      </c>
      <c r="T605" s="16"/>
      <c r="U605" s="16">
        <v>0</v>
      </c>
      <c r="V605" s="16"/>
      <c r="W605" s="16">
        <v>0</v>
      </c>
      <c r="X605" s="16"/>
      <c r="Y605" s="16">
        <v>520</v>
      </c>
      <c r="Z605" s="16"/>
      <c r="AA605" s="16">
        <v>0</v>
      </c>
      <c r="AB605" s="16"/>
      <c r="AC605" s="16">
        <v>0</v>
      </c>
      <c r="AD605" s="16"/>
      <c r="AE605" s="16">
        <f t="shared" si="18"/>
        <v>84968</v>
      </c>
    </row>
    <row r="606" spans="1:31" ht="12.75" customHeight="1">
      <c r="A606" s="1" t="s">
        <v>750</v>
      </c>
      <c r="C606" s="1" t="s">
        <v>192</v>
      </c>
      <c r="E606" s="16">
        <v>4594</v>
      </c>
      <c r="F606" s="16"/>
      <c r="G606" s="16">
        <v>0</v>
      </c>
      <c r="H606" s="16"/>
      <c r="I606" s="16">
        <v>24019</v>
      </c>
      <c r="J606" s="16"/>
      <c r="K606" s="16">
        <v>0</v>
      </c>
      <c r="L606" s="16"/>
      <c r="M606" s="16">
        <v>0</v>
      </c>
      <c r="N606" s="16"/>
      <c r="O606" s="16">
        <v>111</v>
      </c>
      <c r="P606" s="16"/>
      <c r="Q606" s="16">
        <v>275</v>
      </c>
      <c r="R606" s="16"/>
      <c r="S606" s="16">
        <v>0</v>
      </c>
      <c r="T606" s="16"/>
      <c r="U606" s="16">
        <v>0</v>
      </c>
      <c r="V606" s="16"/>
      <c r="W606" s="16">
        <v>0</v>
      </c>
      <c r="X606" s="16"/>
      <c r="Y606" s="16">
        <v>0</v>
      </c>
      <c r="Z606" s="16"/>
      <c r="AA606" s="16">
        <v>0</v>
      </c>
      <c r="AB606" s="16"/>
      <c r="AC606" s="16">
        <v>0</v>
      </c>
      <c r="AD606" s="16"/>
      <c r="AE606" s="16">
        <f t="shared" si="18"/>
        <v>28999</v>
      </c>
    </row>
    <row r="607" spans="1:31" ht="12.75" customHeight="1">
      <c r="A607" s="1" t="s">
        <v>406</v>
      </c>
      <c r="B607" s="1"/>
      <c r="C607" s="1" t="s">
        <v>225</v>
      </c>
      <c r="D607" s="16"/>
      <c r="E607" s="16">
        <f>84914+189</f>
        <v>85103</v>
      </c>
      <c r="F607" s="16"/>
      <c r="G607" s="16">
        <v>0</v>
      </c>
      <c r="H607" s="16"/>
      <c r="I607" s="16">
        <v>23752</v>
      </c>
      <c r="J607" s="16"/>
      <c r="K607" s="16">
        <v>21998</v>
      </c>
      <c r="L607" s="16"/>
      <c r="M607" s="16">
        <v>51524</v>
      </c>
      <c r="N607" s="16"/>
      <c r="O607" s="16">
        <v>2382</v>
      </c>
      <c r="P607" s="16"/>
      <c r="Q607" s="16">
        <v>7749</v>
      </c>
      <c r="R607" s="16"/>
      <c r="S607" s="16">
        <v>4120</v>
      </c>
      <c r="T607" s="16"/>
      <c r="U607" s="16">
        <v>0</v>
      </c>
      <c r="V607" s="16"/>
      <c r="W607" s="16">
        <v>0</v>
      </c>
      <c r="X607" s="16"/>
      <c r="Y607" s="16">
        <v>0</v>
      </c>
      <c r="Z607" s="16"/>
      <c r="AA607" s="16">
        <v>0</v>
      </c>
      <c r="AB607" s="16"/>
      <c r="AC607" s="16">
        <v>0</v>
      </c>
      <c r="AD607" s="16"/>
      <c r="AE607" s="16">
        <f t="shared" si="18"/>
        <v>196628</v>
      </c>
    </row>
    <row r="608" spans="1:31" ht="12.75" customHeight="1">
      <c r="A608" s="1" t="s">
        <v>407</v>
      </c>
      <c r="B608" s="1"/>
      <c r="C608" s="1" t="s">
        <v>78</v>
      </c>
      <c r="D608" s="16"/>
      <c r="E608" s="16">
        <f>77645+71865</f>
        <v>149510</v>
      </c>
      <c r="F608" s="16"/>
      <c r="G608" s="16">
        <v>1543097</v>
      </c>
      <c r="H608" s="16"/>
      <c r="I608" s="16">
        <f>482840+207292+2366058</f>
        <v>3056190</v>
      </c>
      <c r="J608" s="16"/>
      <c r="K608" s="16">
        <v>55710</v>
      </c>
      <c r="L608" s="16"/>
      <c r="M608" s="16">
        <f>202239+54240</f>
        <v>256479</v>
      </c>
      <c r="N608" s="16"/>
      <c r="O608" s="16">
        <f>6028+313+291</f>
        <v>6632</v>
      </c>
      <c r="P608" s="16"/>
      <c r="Q608" s="16">
        <f>30548+9426</f>
        <v>39974</v>
      </c>
      <c r="R608" s="16"/>
      <c r="S608" s="16">
        <f>9184+40366+2345</f>
        <v>51895</v>
      </c>
      <c r="T608" s="16"/>
      <c r="U608" s="16">
        <v>0</v>
      </c>
      <c r="V608" s="16"/>
      <c r="W608" s="16">
        <v>71511</v>
      </c>
      <c r="X608" s="16"/>
      <c r="Y608" s="16">
        <v>1202365</v>
      </c>
      <c r="Z608" s="16"/>
      <c r="AA608" s="16">
        <v>0</v>
      </c>
      <c r="AB608" s="16"/>
      <c r="AC608" s="16">
        <v>0</v>
      </c>
      <c r="AD608" s="16"/>
      <c r="AE608" s="16">
        <f t="shared" si="18"/>
        <v>6433363</v>
      </c>
    </row>
    <row r="609" spans="1:31" ht="12.75" customHeight="1">
      <c r="A609" s="1" t="s">
        <v>236</v>
      </c>
      <c r="C609" s="1" t="s">
        <v>210</v>
      </c>
      <c r="E609" s="16">
        <v>18291</v>
      </c>
      <c r="F609" s="16"/>
      <c r="G609" s="16">
        <v>0</v>
      </c>
      <c r="H609" s="16"/>
      <c r="I609" s="16">
        <v>86374</v>
      </c>
      <c r="J609" s="16"/>
      <c r="K609" s="16">
        <v>2220</v>
      </c>
      <c r="L609" s="16"/>
      <c r="M609" s="16">
        <v>20234</v>
      </c>
      <c r="N609" s="16"/>
      <c r="O609" s="16">
        <v>484</v>
      </c>
      <c r="P609" s="16"/>
      <c r="Q609" s="16">
        <v>168</v>
      </c>
      <c r="R609" s="16"/>
      <c r="S609" s="16">
        <v>605</v>
      </c>
      <c r="T609" s="16"/>
      <c r="U609" s="16">
        <v>0</v>
      </c>
      <c r="V609" s="16"/>
      <c r="W609" s="16">
        <v>0</v>
      </c>
      <c r="X609" s="16"/>
      <c r="Y609" s="16">
        <v>0</v>
      </c>
      <c r="Z609" s="16"/>
      <c r="AA609" s="16">
        <v>0</v>
      </c>
      <c r="AB609" s="16"/>
      <c r="AC609" s="16">
        <v>0</v>
      </c>
      <c r="AD609" s="16"/>
      <c r="AE609" s="16">
        <f t="shared" si="18"/>
        <v>128376</v>
      </c>
    </row>
    <row r="610" spans="1:31" ht="12.75" customHeight="1">
      <c r="A610" s="1" t="s">
        <v>408</v>
      </c>
      <c r="B610" s="1"/>
      <c r="C610" s="1" t="s">
        <v>197</v>
      </c>
      <c r="D610" s="16"/>
      <c r="E610" s="16">
        <v>447049</v>
      </c>
      <c r="F610" s="16"/>
      <c r="G610" s="16">
        <v>0</v>
      </c>
      <c r="H610" s="16"/>
      <c r="I610" s="16">
        <v>335552</v>
      </c>
      <c r="J610" s="16"/>
      <c r="K610" s="16">
        <v>0</v>
      </c>
      <c r="L610" s="16"/>
      <c r="M610" s="16">
        <v>0</v>
      </c>
      <c r="N610" s="16"/>
      <c r="O610" s="16">
        <v>8347</v>
      </c>
      <c r="P610" s="16"/>
      <c r="Q610" s="16">
        <v>434802</v>
      </c>
      <c r="R610" s="16"/>
      <c r="S610" s="16">
        <v>16840</v>
      </c>
      <c r="T610" s="16"/>
      <c r="U610" s="16">
        <v>0</v>
      </c>
      <c r="V610" s="16"/>
      <c r="W610" s="16">
        <v>0</v>
      </c>
      <c r="X610" s="16"/>
      <c r="Y610" s="16">
        <v>127500</v>
      </c>
      <c r="Z610" s="16"/>
      <c r="AA610" s="16">
        <v>0</v>
      </c>
      <c r="AB610" s="16"/>
      <c r="AC610" s="16">
        <v>0</v>
      </c>
      <c r="AD610" s="16"/>
      <c r="AE610" s="16">
        <f t="shared" si="18"/>
        <v>1370090</v>
      </c>
    </row>
    <row r="611" spans="1:31" ht="12.75" customHeight="1">
      <c r="A611" s="1" t="s">
        <v>776</v>
      </c>
      <c r="C611" s="1" t="s">
        <v>94</v>
      </c>
      <c r="E611" s="16">
        <v>81247</v>
      </c>
      <c r="F611" s="16"/>
      <c r="G611" s="16">
        <v>845282</v>
      </c>
      <c r="H611" s="16"/>
      <c r="I611" s="16">
        <v>335749</v>
      </c>
      <c r="J611" s="16"/>
      <c r="K611" s="16">
        <v>29789</v>
      </c>
      <c r="L611" s="16"/>
      <c r="M611" s="16">
        <v>24348</v>
      </c>
      <c r="N611" s="16"/>
      <c r="O611" s="16">
        <v>39379</v>
      </c>
      <c r="P611" s="16"/>
      <c r="Q611" s="16">
        <v>5924</v>
      </c>
      <c r="R611" s="16"/>
      <c r="S611" s="16">
        <v>34892</v>
      </c>
      <c r="T611" s="16"/>
      <c r="U611" s="16">
        <v>0</v>
      </c>
      <c r="V611" s="16"/>
      <c r="W611" s="16">
        <v>100</v>
      </c>
      <c r="X611" s="16"/>
      <c r="Y611" s="16">
        <v>0</v>
      </c>
      <c r="Z611" s="16"/>
      <c r="AA611" s="16">
        <v>0</v>
      </c>
      <c r="AB611" s="16"/>
      <c r="AC611" s="16">
        <v>0</v>
      </c>
      <c r="AD611" s="16"/>
      <c r="AE611" s="16">
        <f t="shared" si="18"/>
        <v>1396710</v>
      </c>
    </row>
    <row r="612" spans="1:31" ht="12.75" customHeight="1">
      <c r="A612" s="1" t="s">
        <v>640</v>
      </c>
      <c r="C612" s="1" t="s">
        <v>268</v>
      </c>
      <c r="E612" s="16">
        <v>40831</v>
      </c>
      <c r="F612" s="16"/>
      <c r="G612" s="16">
        <v>0</v>
      </c>
      <c r="H612" s="16"/>
      <c r="I612" s="16">
        <v>37595</v>
      </c>
      <c r="J612" s="16"/>
      <c r="K612" s="16">
        <v>0</v>
      </c>
      <c r="L612" s="16"/>
      <c r="M612" s="16">
        <v>0</v>
      </c>
      <c r="N612" s="16"/>
      <c r="O612" s="16">
        <v>152</v>
      </c>
      <c r="P612" s="16"/>
      <c r="Q612" s="16">
        <v>1212</v>
      </c>
      <c r="R612" s="16"/>
      <c r="S612" s="16">
        <v>6857</v>
      </c>
      <c r="T612" s="16"/>
      <c r="U612" s="16">
        <v>0</v>
      </c>
      <c r="V612" s="16"/>
      <c r="W612" s="16">
        <v>0</v>
      </c>
      <c r="X612" s="16"/>
      <c r="Y612" s="16">
        <v>0</v>
      </c>
      <c r="Z612" s="16"/>
      <c r="AA612" s="16">
        <v>0</v>
      </c>
      <c r="AB612" s="16"/>
      <c r="AC612" s="16">
        <v>0</v>
      </c>
      <c r="AD612" s="16"/>
      <c r="AE612" s="16">
        <f t="shared" si="18"/>
        <v>86647</v>
      </c>
    </row>
    <row r="613" spans="1:31" ht="12.75" customHeight="1">
      <c r="A613" s="1" t="s">
        <v>519</v>
      </c>
      <c r="C613" s="1" t="s">
        <v>112</v>
      </c>
      <c r="E613" s="16">
        <v>68480</v>
      </c>
      <c r="F613" s="16"/>
      <c r="G613" s="16">
        <v>4153853</v>
      </c>
      <c r="H613" s="16"/>
      <c r="I613" s="16">
        <v>764724</v>
      </c>
      <c r="J613" s="16"/>
      <c r="K613" s="16">
        <v>92543</v>
      </c>
      <c r="L613" s="16"/>
      <c r="M613" s="16">
        <v>55176</v>
      </c>
      <c r="N613" s="16"/>
      <c r="O613" s="16">
        <v>202556</v>
      </c>
      <c r="P613" s="16"/>
      <c r="Q613" s="16">
        <v>138385</v>
      </c>
      <c r="R613" s="16"/>
      <c r="S613" s="16">
        <v>29508</v>
      </c>
      <c r="T613" s="16"/>
      <c r="U613" s="16">
        <v>0</v>
      </c>
      <c r="V613" s="16"/>
      <c r="W613" s="16">
        <v>20235</v>
      </c>
      <c r="X613" s="16"/>
      <c r="Y613" s="16">
        <v>101800</v>
      </c>
      <c r="Z613" s="16"/>
      <c r="AA613" s="16">
        <v>35000</v>
      </c>
      <c r="AB613" s="16"/>
      <c r="AC613" s="16">
        <v>0</v>
      </c>
      <c r="AD613" s="16"/>
      <c r="AE613" s="16">
        <f t="shared" si="18"/>
        <v>5662260</v>
      </c>
    </row>
    <row r="614" spans="1:31" ht="12.75" customHeight="1">
      <c r="A614" s="1" t="s">
        <v>512</v>
      </c>
      <c r="C614" s="1" t="s">
        <v>170</v>
      </c>
      <c r="E614" s="16">
        <v>48598</v>
      </c>
      <c r="F614" s="16"/>
      <c r="G614" s="16">
        <v>0</v>
      </c>
      <c r="H614" s="16"/>
      <c r="I614" s="16">
        <v>78310</v>
      </c>
      <c r="J614" s="16"/>
      <c r="K614" s="16">
        <v>0</v>
      </c>
      <c r="L614" s="16"/>
      <c r="M614" s="16">
        <v>115773</v>
      </c>
      <c r="N614" s="16"/>
      <c r="O614" s="16">
        <v>1066</v>
      </c>
      <c r="P614" s="16"/>
      <c r="Q614" s="16">
        <v>645</v>
      </c>
      <c r="R614" s="16"/>
      <c r="S614" s="16">
        <v>18461</v>
      </c>
      <c r="T614" s="16"/>
      <c r="U614" s="16">
        <v>0</v>
      </c>
      <c r="V614" s="16"/>
      <c r="W614" s="16">
        <v>0</v>
      </c>
      <c r="X614" s="16"/>
      <c r="Y614" s="16">
        <v>1056</v>
      </c>
      <c r="Z614" s="16"/>
      <c r="AA614" s="16">
        <v>250</v>
      </c>
      <c r="AB614" s="16"/>
      <c r="AC614" s="16">
        <v>6640</v>
      </c>
      <c r="AD614" s="16"/>
      <c r="AE614" s="16">
        <f t="shared" si="18"/>
        <v>270799</v>
      </c>
    </row>
    <row r="615" spans="1:31" ht="12.75" customHeight="1">
      <c r="A615" s="1" t="s">
        <v>511</v>
      </c>
      <c r="C615" s="1" t="s">
        <v>414</v>
      </c>
      <c r="E615" s="16">
        <v>88162</v>
      </c>
      <c r="F615" s="16"/>
      <c r="G615" s="16">
        <v>0</v>
      </c>
      <c r="H615" s="16"/>
      <c r="I615" s="16">
        <v>82800</v>
      </c>
      <c r="J615" s="16"/>
      <c r="K615" s="16">
        <v>583</v>
      </c>
      <c r="L615" s="16"/>
      <c r="M615" s="16">
        <v>0</v>
      </c>
      <c r="N615" s="16"/>
      <c r="O615" s="16">
        <v>28968</v>
      </c>
      <c r="P615" s="16"/>
      <c r="Q615" s="16">
        <v>531</v>
      </c>
      <c r="R615" s="16"/>
      <c r="S615" s="16">
        <v>1598</v>
      </c>
      <c r="T615" s="16"/>
      <c r="U615" s="16">
        <v>0</v>
      </c>
      <c r="V615" s="16"/>
      <c r="W615" s="16">
        <v>0</v>
      </c>
      <c r="X615" s="16"/>
      <c r="Y615" s="16">
        <v>0</v>
      </c>
      <c r="Z615" s="16"/>
      <c r="AA615" s="16">
        <v>0</v>
      </c>
      <c r="AB615" s="16"/>
      <c r="AC615" s="16">
        <v>0</v>
      </c>
      <c r="AD615" s="16"/>
      <c r="AE615" s="16">
        <f t="shared" si="18"/>
        <v>202642</v>
      </c>
    </row>
    <row r="616" spans="1:31" ht="12.75" customHeight="1">
      <c r="A616" s="1" t="s">
        <v>409</v>
      </c>
      <c r="B616" s="1"/>
      <c r="C616" s="1" t="s">
        <v>250</v>
      </c>
      <c r="D616" s="16"/>
      <c r="E616" s="16">
        <v>2428152</v>
      </c>
      <c r="F616" s="16"/>
      <c r="G616" s="16">
        <v>0</v>
      </c>
      <c r="H616" s="16"/>
      <c r="I616" s="16">
        <v>919029</v>
      </c>
      <c r="J616" s="16"/>
      <c r="K616" s="16">
        <v>25810</v>
      </c>
      <c r="L616" s="16"/>
      <c r="M616" s="16">
        <v>95690</v>
      </c>
      <c r="N616" s="16"/>
      <c r="O616" s="16">
        <v>31504</v>
      </c>
      <c r="P616" s="16"/>
      <c r="Q616" s="16">
        <v>44</v>
      </c>
      <c r="R616" s="16"/>
      <c r="S616" s="16">
        <f>118592-1963</f>
        <v>116629</v>
      </c>
      <c r="T616" s="16"/>
      <c r="U616" s="16">
        <v>80000</v>
      </c>
      <c r="V616" s="16"/>
      <c r="W616" s="16">
        <v>0</v>
      </c>
      <c r="X616" s="16"/>
      <c r="Y616" s="16">
        <v>705688</v>
      </c>
      <c r="Z616" s="16"/>
      <c r="AA616" s="16">
        <v>158000</v>
      </c>
      <c r="AB616" s="16"/>
      <c r="AC616" s="16">
        <v>0</v>
      </c>
      <c r="AD616" s="16"/>
      <c r="AE616" s="16">
        <f t="shared" si="18"/>
        <v>4560546</v>
      </c>
    </row>
    <row r="617" spans="1:31" ht="12.75" customHeight="1">
      <c r="A617" s="1" t="s">
        <v>410</v>
      </c>
      <c r="B617" s="1"/>
      <c r="C617" s="1" t="s">
        <v>78</v>
      </c>
      <c r="D617" s="16"/>
      <c r="E617" s="16">
        <v>108540</v>
      </c>
      <c r="F617" s="16"/>
      <c r="G617" s="16">
        <v>0</v>
      </c>
      <c r="H617" s="16"/>
      <c r="I617" s="16">
        <v>53443</v>
      </c>
      <c r="J617" s="16"/>
      <c r="K617" s="16">
        <v>0</v>
      </c>
      <c r="L617" s="16"/>
      <c r="M617" s="16">
        <v>18858</v>
      </c>
      <c r="N617" s="16"/>
      <c r="O617" s="16">
        <v>9749</v>
      </c>
      <c r="P617" s="16"/>
      <c r="Q617" s="16">
        <v>344</v>
      </c>
      <c r="R617" s="16"/>
      <c r="S617" s="16">
        <v>1133</v>
      </c>
      <c r="T617" s="16"/>
      <c r="U617" s="16">
        <v>0</v>
      </c>
      <c r="V617" s="16"/>
      <c r="W617" s="16">
        <v>1100</v>
      </c>
      <c r="X617" s="16"/>
      <c r="Y617" s="16">
        <v>0</v>
      </c>
      <c r="Z617" s="16"/>
      <c r="AA617" s="16">
        <v>0</v>
      </c>
      <c r="AB617" s="16"/>
      <c r="AC617" s="16">
        <v>0</v>
      </c>
      <c r="AD617" s="16"/>
      <c r="AE617" s="16">
        <f t="shared" si="18"/>
        <v>193167</v>
      </c>
    </row>
    <row r="618" spans="1:31" ht="12.75" customHeight="1">
      <c r="A618" s="1" t="s">
        <v>411</v>
      </c>
      <c r="B618" s="1"/>
      <c r="C618" s="1" t="s">
        <v>106</v>
      </c>
      <c r="D618" s="16"/>
      <c r="E618" s="16">
        <v>149602</v>
      </c>
      <c r="F618" s="16"/>
      <c r="G618" s="16">
        <v>0</v>
      </c>
      <c r="H618" s="16"/>
      <c r="I618" s="16">
        <v>109007</v>
      </c>
      <c r="J618" s="16"/>
      <c r="K618" s="16">
        <v>0</v>
      </c>
      <c r="L618" s="16"/>
      <c r="M618" s="16">
        <v>41501</v>
      </c>
      <c r="N618" s="16"/>
      <c r="O618" s="16">
        <v>36910</v>
      </c>
      <c r="P618" s="16"/>
      <c r="Q618" s="16">
        <v>5536</v>
      </c>
      <c r="R618" s="16"/>
      <c r="S618" s="16">
        <v>22207</v>
      </c>
      <c r="T618" s="16"/>
      <c r="U618" s="16">
        <v>0</v>
      </c>
      <c r="V618" s="16"/>
      <c r="W618" s="16">
        <v>0</v>
      </c>
      <c r="X618" s="16"/>
      <c r="Y618" s="16">
        <v>0</v>
      </c>
      <c r="Z618" s="16"/>
      <c r="AA618" s="16">
        <v>10000</v>
      </c>
      <c r="AB618" s="16"/>
      <c r="AC618" s="16">
        <v>0</v>
      </c>
      <c r="AD618" s="16"/>
      <c r="AE618" s="16">
        <f t="shared" si="18"/>
        <v>374763</v>
      </c>
    </row>
    <row r="619" spans="1:31" ht="12.75" customHeight="1">
      <c r="A619" s="1" t="s">
        <v>464</v>
      </c>
      <c r="B619" s="1"/>
      <c r="C619" s="1" t="s">
        <v>177</v>
      </c>
      <c r="E619" s="16">
        <v>41849</v>
      </c>
      <c r="F619" s="16"/>
      <c r="G619" s="16">
        <v>0</v>
      </c>
      <c r="H619" s="16"/>
      <c r="I619" s="16">
        <v>107761</v>
      </c>
      <c r="J619" s="16"/>
      <c r="K619" s="16">
        <v>161</v>
      </c>
      <c r="L619" s="16"/>
      <c r="M619" s="16">
        <v>325</v>
      </c>
      <c r="N619" s="16"/>
      <c r="O619" s="16">
        <v>98</v>
      </c>
      <c r="P619" s="16"/>
      <c r="Q619" s="16">
        <v>4281</v>
      </c>
      <c r="R619" s="16"/>
      <c r="S619" s="16">
        <v>15213</v>
      </c>
      <c r="T619" s="16"/>
      <c r="U619" s="16">
        <v>0</v>
      </c>
      <c r="V619" s="16"/>
      <c r="W619" s="16">
        <v>0</v>
      </c>
      <c r="X619" s="16"/>
      <c r="Y619" s="16">
        <v>35</v>
      </c>
      <c r="Z619" s="16"/>
      <c r="AA619" s="16">
        <v>0</v>
      </c>
      <c r="AB619" s="16"/>
      <c r="AC619" s="16">
        <v>0</v>
      </c>
      <c r="AD619" s="16"/>
      <c r="AE619" s="16">
        <f t="shared" si="18"/>
        <v>169723</v>
      </c>
    </row>
    <row r="620" spans="1:31" ht="12.75" customHeight="1">
      <c r="A620" s="1" t="s">
        <v>412</v>
      </c>
      <c r="B620" s="1"/>
      <c r="C620" s="1" t="s">
        <v>228</v>
      </c>
      <c r="D620" s="16"/>
      <c r="E620" s="16">
        <f>323059+19071+325206</f>
        <v>667336</v>
      </c>
      <c r="F620" s="16"/>
      <c r="G620" s="16">
        <v>975604</v>
      </c>
      <c r="H620" s="16"/>
      <c r="I620" s="16">
        <f>469764+12750+177215+25316+58279+602878</f>
        <v>1346202</v>
      </c>
      <c r="J620" s="16"/>
      <c r="K620" s="16">
        <f>88945+6779</f>
        <v>95724</v>
      </c>
      <c r="L620" s="16"/>
      <c r="M620" s="16">
        <f>55660+13766+1075</f>
        <v>70501</v>
      </c>
      <c r="N620" s="16"/>
      <c r="O620" s="16">
        <f>75480+200+12972</f>
        <v>88652</v>
      </c>
      <c r="P620" s="16"/>
      <c r="Q620" s="16">
        <f>18982+1544</f>
        <v>20526</v>
      </c>
      <c r="R620" s="16"/>
      <c r="S620" s="16">
        <f>253975+125</f>
        <v>254100</v>
      </c>
      <c r="T620" s="16"/>
      <c r="U620" s="16">
        <v>0</v>
      </c>
      <c r="V620" s="16"/>
      <c r="W620" s="16">
        <v>155164</v>
      </c>
      <c r="X620" s="16"/>
      <c r="Y620" s="16">
        <v>0</v>
      </c>
      <c r="Z620" s="16"/>
      <c r="AA620" s="16">
        <v>480000</v>
      </c>
      <c r="AB620" s="16"/>
      <c r="AC620" s="16">
        <v>0</v>
      </c>
      <c r="AD620" s="16"/>
      <c r="AE620" s="16">
        <f t="shared" si="18"/>
        <v>4153809</v>
      </c>
    </row>
    <row r="621" spans="1:31" ht="12.75" customHeight="1">
      <c r="A621" s="1" t="s">
        <v>413</v>
      </c>
      <c r="B621" s="1"/>
      <c r="C621" s="1" t="s">
        <v>414</v>
      </c>
      <c r="D621" s="16"/>
      <c r="E621" s="16">
        <v>373146</v>
      </c>
      <c r="F621" s="16"/>
      <c r="G621" s="16">
        <v>424871</v>
      </c>
      <c r="H621" s="16"/>
      <c r="I621" s="16">
        <v>425052</v>
      </c>
      <c r="J621" s="16"/>
      <c r="K621" s="16">
        <v>0</v>
      </c>
      <c r="L621" s="16"/>
      <c r="M621" s="16">
        <v>60533</v>
      </c>
      <c r="N621" s="16"/>
      <c r="O621" s="16">
        <v>82577</v>
      </c>
      <c r="P621" s="16"/>
      <c r="Q621" s="16">
        <v>14926</v>
      </c>
      <c r="R621" s="16"/>
      <c r="S621" s="16">
        <f>1829+68600</f>
        <v>70429</v>
      </c>
      <c r="T621" s="16"/>
      <c r="U621" s="16">
        <v>0</v>
      </c>
      <c r="V621" s="16"/>
      <c r="W621" s="16">
        <v>0</v>
      </c>
      <c r="X621" s="16"/>
      <c r="Y621" s="16">
        <v>182301</v>
      </c>
      <c r="Z621" s="16"/>
      <c r="AA621" s="16">
        <v>0</v>
      </c>
      <c r="AB621" s="16"/>
      <c r="AC621" s="16">
        <v>129033</v>
      </c>
      <c r="AD621" s="16"/>
      <c r="AE621" s="16">
        <f t="shared" si="18"/>
        <v>1762868</v>
      </c>
    </row>
    <row r="622" spans="1:31" ht="12.75" customHeight="1">
      <c r="A622" s="1" t="s">
        <v>413</v>
      </c>
      <c r="C622" s="1" t="s">
        <v>414</v>
      </c>
      <c r="E622" s="16">
        <v>373147</v>
      </c>
      <c r="F622" s="16"/>
      <c r="G622" s="16">
        <v>424871</v>
      </c>
      <c r="H622" s="16"/>
      <c r="I622" s="16">
        <v>425051</v>
      </c>
      <c r="J622" s="16"/>
      <c r="K622" s="16">
        <v>0</v>
      </c>
      <c r="L622" s="16"/>
      <c r="M622" s="16">
        <v>75430</v>
      </c>
      <c r="N622" s="16"/>
      <c r="O622" s="16">
        <v>79006</v>
      </c>
      <c r="P622" s="16"/>
      <c r="Q622" s="16">
        <v>13298</v>
      </c>
      <c r="R622" s="16"/>
      <c r="S622" s="16">
        <v>199291</v>
      </c>
      <c r="T622" s="16"/>
      <c r="U622" s="16">
        <v>0</v>
      </c>
      <c r="V622" s="16"/>
      <c r="W622" s="16">
        <v>0</v>
      </c>
      <c r="X622" s="16"/>
      <c r="Y622" s="16">
        <v>182300</v>
      </c>
      <c r="Z622" s="16"/>
      <c r="AA622" s="16">
        <v>54391</v>
      </c>
      <c r="AB622" s="16"/>
      <c r="AC622" s="16">
        <v>171</v>
      </c>
      <c r="AD622" s="16"/>
      <c r="AE622" s="16">
        <f t="shared" si="18"/>
        <v>1826956</v>
      </c>
    </row>
    <row r="623" spans="1:31" ht="12.75" customHeight="1">
      <c r="A623" s="1" t="s">
        <v>415</v>
      </c>
      <c r="B623" s="1"/>
      <c r="C623" s="1" t="s">
        <v>225</v>
      </c>
      <c r="D623" s="16"/>
      <c r="E623" s="16">
        <v>95137</v>
      </c>
      <c r="F623" s="16"/>
      <c r="G623" s="16">
        <v>207500</v>
      </c>
      <c r="H623" s="16"/>
      <c r="I623" s="16">
        <v>203252</v>
      </c>
      <c r="J623" s="16"/>
      <c r="K623" s="16">
        <v>16355</v>
      </c>
      <c r="L623" s="16"/>
      <c r="M623" s="16">
        <v>233099</v>
      </c>
      <c r="N623" s="16"/>
      <c r="O623" s="16">
        <v>6851</v>
      </c>
      <c r="P623" s="16"/>
      <c r="Q623" s="16">
        <v>5279</v>
      </c>
      <c r="R623" s="16"/>
      <c r="S623" s="16">
        <v>5989</v>
      </c>
      <c r="T623" s="16"/>
      <c r="U623" s="16">
        <v>211801</v>
      </c>
      <c r="V623" s="16"/>
      <c r="W623" s="16">
        <v>500</v>
      </c>
      <c r="X623" s="16"/>
      <c r="Y623" s="16">
        <v>0</v>
      </c>
      <c r="Z623" s="16"/>
      <c r="AA623" s="16">
        <v>0</v>
      </c>
      <c r="AB623" s="16"/>
      <c r="AC623" s="16">
        <v>0</v>
      </c>
      <c r="AD623" s="16"/>
      <c r="AE623" s="16">
        <f t="shared" si="18"/>
        <v>985763</v>
      </c>
    </row>
    <row r="624" spans="1:31" ht="12.75" customHeight="1">
      <c r="A624" s="1" t="s">
        <v>700</v>
      </c>
      <c r="C624" s="1" t="s">
        <v>225</v>
      </c>
      <c r="E624" s="16">
        <v>11453</v>
      </c>
      <c r="F624" s="16"/>
      <c r="G624" s="16">
        <v>0</v>
      </c>
      <c r="H624" s="16"/>
      <c r="I624" s="16">
        <v>36390</v>
      </c>
      <c r="J624" s="16"/>
      <c r="K624" s="16">
        <v>0</v>
      </c>
      <c r="L624" s="16"/>
      <c r="M624" s="16">
        <v>0</v>
      </c>
      <c r="N624" s="16"/>
      <c r="O624" s="16">
        <v>13353</v>
      </c>
      <c r="P624" s="16"/>
      <c r="Q624" s="16">
        <v>83</v>
      </c>
      <c r="R624" s="16"/>
      <c r="S624" s="16">
        <v>4034</v>
      </c>
      <c r="T624" s="16"/>
      <c r="U624" s="16">
        <v>0</v>
      </c>
      <c r="V624" s="16"/>
      <c r="W624" s="16">
        <v>0</v>
      </c>
      <c r="X624" s="16"/>
      <c r="Y624" s="16">
        <v>0</v>
      </c>
      <c r="Z624" s="16"/>
      <c r="AA624" s="16">
        <v>0</v>
      </c>
      <c r="AB624" s="16"/>
      <c r="AC624" s="16">
        <v>0</v>
      </c>
      <c r="AD624" s="16"/>
      <c r="AE624" s="16">
        <f t="shared" si="18"/>
        <v>65313</v>
      </c>
    </row>
    <row r="625" spans="1:31" ht="12.75" customHeight="1">
      <c r="A625" s="1" t="s">
        <v>736</v>
      </c>
      <c r="C625" s="1" t="s">
        <v>276</v>
      </c>
      <c r="E625" s="16">
        <v>39284</v>
      </c>
      <c r="F625" s="16"/>
      <c r="G625" s="16">
        <v>6405</v>
      </c>
      <c r="H625" s="16"/>
      <c r="I625" s="16">
        <v>48028</v>
      </c>
      <c r="J625" s="16"/>
      <c r="K625" s="16">
        <v>3548</v>
      </c>
      <c r="L625" s="16"/>
      <c r="M625" s="16">
        <v>0</v>
      </c>
      <c r="N625" s="16"/>
      <c r="O625" s="16">
        <v>6600</v>
      </c>
      <c r="P625" s="16"/>
      <c r="Q625" s="16">
        <v>403</v>
      </c>
      <c r="R625" s="16"/>
      <c r="S625" s="16">
        <v>1688</v>
      </c>
      <c r="T625" s="16"/>
      <c r="U625" s="16">
        <v>0</v>
      </c>
      <c r="V625" s="16"/>
      <c r="W625" s="16">
        <v>0</v>
      </c>
      <c r="X625" s="16"/>
      <c r="Y625" s="16">
        <v>6000</v>
      </c>
      <c r="Z625" s="16"/>
      <c r="AA625" s="16">
        <v>7470</v>
      </c>
      <c r="AB625" s="16"/>
      <c r="AC625" s="16">
        <v>0</v>
      </c>
      <c r="AD625" s="16"/>
      <c r="AE625" s="16">
        <f aca="true" t="shared" si="19" ref="AE625:AE656">SUM(E625:AC625)</f>
        <v>119426</v>
      </c>
    </row>
    <row r="626" spans="1:31" ht="12.75" customHeight="1">
      <c r="A626" s="1" t="s">
        <v>416</v>
      </c>
      <c r="B626" s="1"/>
      <c r="C626" s="1" t="s">
        <v>293</v>
      </c>
      <c r="D626" s="16"/>
      <c r="E626" s="16">
        <v>70086</v>
      </c>
      <c r="F626" s="16"/>
      <c r="G626" s="16">
        <v>1275364</v>
      </c>
      <c r="H626" s="16"/>
      <c r="I626" s="16">
        <v>1074460</v>
      </c>
      <c r="J626" s="16"/>
      <c r="K626" s="16">
        <v>40178</v>
      </c>
      <c r="L626" s="16"/>
      <c r="M626" s="16">
        <v>138133</v>
      </c>
      <c r="N626" s="16"/>
      <c r="O626" s="16">
        <v>31469</v>
      </c>
      <c r="P626" s="16"/>
      <c r="Q626" s="16">
        <v>14382</v>
      </c>
      <c r="R626" s="16"/>
      <c r="S626" s="16">
        <v>9751</v>
      </c>
      <c r="T626" s="16"/>
      <c r="U626" s="16">
        <v>0</v>
      </c>
      <c r="V626" s="16"/>
      <c r="W626" s="16">
        <v>0</v>
      </c>
      <c r="X626" s="16"/>
      <c r="Y626" s="16">
        <v>0</v>
      </c>
      <c r="Z626" s="16"/>
      <c r="AA626" s="16">
        <v>0</v>
      </c>
      <c r="AB626" s="16"/>
      <c r="AC626" s="16">
        <v>0</v>
      </c>
      <c r="AD626" s="16"/>
      <c r="AE626" s="16">
        <f t="shared" si="19"/>
        <v>2653823</v>
      </c>
    </row>
    <row r="627" spans="1:31" ht="12.75" customHeight="1">
      <c r="A627" s="1" t="s">
        <v>417</v>
      </c>
      <c r="B627" s="1"/>
      <c r="C627" s="1" t="s">
        <v>170</v>
      </c>
      <c r="D627" s="16"/>
      <c r="E627" s="16">
        <v>88649</v>
      </c>
      <c r="F627" s="16"/>
      <c r="G627" s="16">
        <v>251044</v>
      </c>
      <c r="H627" s="16"/>
      <c r="I627" s="16">
        <v>750021</v>
      </c>
      <c r="J627" s="16"/>
      <c r="K627" s="16">
        <v>0</v>
      </c>
      <c r="L627" s="16"/>
      <c r="M627" s="16">
        <v>26694</v>
      </c>
      <c r="N627" s="16"/>
      <c r="O627" s="16">
        <v>7341</v>
      </c>
      <c r="P627" s="16"/>
      <c r="Q627" s="16">
        <v>4565</v>
      </c>
      <c r="R627" s="16"/>
      <c r="S627" s="16">
        <v>25637</v>
      </c>
      <c r="T627" s="16"/>
      <c r="U627" s="16">
        <v>0</v>
      </c>
      <c r="V627" s="16"/>
      <c r="W627" s="16">
        <v>0</v>
      </c>
      <c r="X627" s="16"/>
      <c r="Y627" s="16">
        <v>0</v>
      </c>
      <c r="Z627" s="16"/>
      <c r="AA627" s="16">
        <v>0</v>
      </c>
      <c r="AB627" s="16"/>
      <c r="AC627" s="16">
        <v>0</v>
      </c>
      <c r="AD627" s="16"/>
      <c r="AE627" s="16">
        <f t="shared" si="19"/>
        <v>1153951</v>
      </c>
    </row>
    <row r="628" spans="1:31" ht="12.75" customHeight="1">
      <c r="A628" s="1" t="s">
        <v>418</v>
      </c>
      <c r="B628" s="1"/>
      <c r="C628" s="1" t="s">
        <v>110</v>
      </c>
      <c r="D628" s="16"/>
      <c r="E628" s="16">
        <f>2867+5690</f>
        <v>8557</v>
      </c>
      <c r="F628" s="16"/>
      <c r="G628" s="16">
        <v>0</v>
      </c>
      <c r="H628" s="16"/>
      <c r="I628" s="16">
        <f>38652+9283+320568</f>
        <v>368503</v>
      </c>
      <c r="J628" s="16"/>
      <c r="K628" s="16">
        <v>0</v>
      </c>
      <c r="L628" s="16"/>
      <c r="M628" s="16">
        <v>0</v>
      </c>
      <c r="N628" s="16"/>
      <c r="O628" s="16">
        <v>0</v>
      </c>
      <c r="P628" s="16"/>
      <c r="Q628" s="16">
        <f>10968+956</f>
        <v>11924</v>
      </c>
      <c r="R628" s="16"/>
      <c r="S628" s="16">
        <f>1835+28702+25649</f>
        <v>56186</v>
      </c>
      <c r="T628" s="16"/>
      <c r="U628" s="16">
        <v>270000</v>
      </c>
      <c r="V628" s="16"/>
      <c r="W628" s="16">
        <v>0</v>
      </c>
      <c r="X628" s="16"/>
      <c r="Y628" s="16">
        <v>0</v>
      </c>
      <c r="Z628" s="16"/>
      <c r="AA628" s="16">
        <v>0</v>
      </c>
      <c r="AB628" s="16"/>
      <c r="AC628" s="16">
        <v>0</v>
      </c>
      <c r="AD628" s="16"/>
      <c r="AE628" s="16">
        <f t="shared" si="19"/>
        <v>715170</v>
      </c>
    </row>
    <row r="629" spans="1:31" ht="12.75" customHeight="1">
      <c r="A629" s="1" t="s">
        <v>622</v>
      </c>
      <c r="C629" s="1" t="s">
        <v>369</v>
      </c>
      <c r="E629" s="16">
        <v>255738</v>
      </c>
      <c r="F629" s="16"/>
      <c r="G629" s="16">
        <v>0</v>
      </c>
      <c r="H629" s="16"/>
      <c r="I629" s="16">
        <v>298518</v>
      </c>
      <c r="J629" s="16"/>
      <c r="K629" s="16">
        <v>3525</v>
      </c>
      <c r="L629" s="16"/>
      <c r="M629" s="16">
        <v>203354</v>
      </c>
      <c r="N629" s="16"/>
      <c r="O629" s="16">
        <v>12344</v>
      </c>
      <c r="P629" s="16"/>
      <c r="Q629" s="16">
        <v>13415</v>
      </c>
      <c r="R629" s="16"/>
      <c r="S629" s="16">
        <v>36036</v>
      </c>
      <c r="T629" s="16"/>
      <c r="U629" s="16">
        <v>0</v>
      </c>
      <c r="V629" s="16"/>
      <c r="W629" s="16">
        <v>0</v>
      </c>
      <c r="X629" s="16"/>
      <c r="Y629" s="16">
        <v>30310</v>
      </c>
      <c r="Z629" s="16"/>
      <c r="AA629" s="16">
        <v>4155</v>
      </c>
      <c r="AB629" s="16"/>
      <c r="AC629" s="16">
        <v>0</v>
      </c>
      <c r="AD629" s="16"/>
      <c r="AE629" s="16">
        <f t="shared" si="19"/>
        <v>857395</v>
      </c>
    </row>
    <row r="630" spans="1:31" ht="12.75" customHeight="1">
      <c r="A630" s="1" t="s">
        <v>419</v>
      </c>
      <c r="B630" s="1"/>
      <c r="C630" s="1" t="s">
        <v>225</v>
      </c>
      <c r="D630" s="16"/>
      <c r="E630" s="16">
        <v>11255</v>
      </c>
      <c r="F630" s="16"/>
      <c r="G630" s="16">
        <v>29498</v>
      </c>
      <c r="H630" s="16"/>
      <c r="I630" s="16">
        <v>681375</v>
      </c>
      <c r="J630" s="16"/>
      <c r="K630" s="16">
        <v>0</v>
      </c>
      <c r="L630" s="16"/>
      <c r="M630" s="16">
        <f>118360-70653</f>
        <v>47707</v>
      </c>
      <c r="N630" s="16"/>
      <c r="O630" s="16">
        <v>1658</v>
      </c>
      <c r="P630" s="16"/>
      <c r="Q630" s="16">
        <v>4618</v>
      </c>
      <c r="R630" s="16"/>
      <c r="S630" s="16">
        <f>25755-207</f>
        <v>25548</v>
      </c>
      <c r="T630" s="16"/>
      <c r="U630" s="16">
        <v>60000</v>
      </c>
      <c r="V630" s="16"/>
      <c r="W630" s="16">
        <v>0</v>
      </c>
      <c r="X630" s="16"/>
      <c r="Y630" s="16">
        <v>0</v>
      </c>
      <c r="Z630" s="16"/>
      <c r="AA630" s="16">
        <v>0</v>
      </c>
      <c r="AB630" s="16"/>
      <c r="AC630" s="16">
        <v>0</v>
      </c>
      <c r="AD630" s="16"/>
      <c r="AE630" s="16">
        <f t="shared" si="19"/>
        <v>861659</v>
      </c>
    </row>
    <row r="631" spans="1:31" ht="12.75" customHeight="1">
      <c r="A631" s="1" t="s">
        <v>777</v>
      </c>
      <c r="C631" s="1" t="s">
        <v>94</v>
      </c>
      <c r="E631" s="16">
        <v>11939</v>
      </c>
      <c r="F631" s="16"/>
      <c r="G631" s="16">
        <v>0</v>
      </c>
      <c r="H631" s="16"/>
      <c r="I631" s="16">
        <v>16522</v>
      </c>
      <c r="J631" s="16"/>
      <c r="K631" s="16">
        <v>3325</v>
      </c>
      <c r="L631" s="16"/>
      <c r="M631" s="16">
        <v>0</v>
      </c>
      <c r="N631" s="16"/>
      <c r="O631" s="16">
        <v>66948</v>
      </c>
      <c r="P631" s="16"/>
      <c r="Q631" s="16">
        <v>0</v>
      </c>
      <c r="R631" s="16"/>
      <c r="S631" s="16">
        <v>0</v>
      </c>
      <c r="T631" s="16"/>
      <c r="U631" s="16">
        <v>0</v>
      </c>
      <c r="V631" s="16"/>
      <c r="W631" s="16">
        <v>0</v>
      </c>
      <c r="X631" s="16"/>
      <c r="Y631" s="16">
        <v>0</v>
      </c>
      <c r="Z631" s="16"/>
      <c r="AA631" s="16">
        <v>0</v>
      </c>
      <c r="AB631" s="16"/>
      <c r="AC631" s="16">
        <v>0</v>
      </c>
      <c r="AD631" s="16"/>
      <c r="AE631" s="16">
        <f t="shared" si="19"/>
        <v>98734</v>
      </c>
    </row>
    <row r="632" spans="1:31" ht="12.75" customHeight="1">
      <c r="A632" s="1" t="s">
        <v>420</v>
      </c>
      <c r="B632" s="1"/>
      <c r="C632" s="1" t="s">
        <v>155</v>
      </c>
      <c r="D632" s="16"/>
      <c r="E632" s="16">
        <v>325837</v>
      </c>
      <c r="F632" s="16"/>
      <c r="G632" s="16">
        <v>800831</v>
      </c>
      <c r="H632" s="16"/>
      <c r="I632" s="16">
        <v>606281</v>
      </c>
      <c r="J632" s="16"/>
      <c r="K632" s="16">
        <v>8920</v>
      </c>
      <c r="L632" s="16"/>
      <c r="M632" s="16">
        <v>1058</v>
      </c>
      <c r="N632" s="16"/>
      <c r="O632" s="16">
        <v>6644</v>
      </c>
      <c r="P632" s="16"/>
      <c r="Q632" s="16">
        <v>50777</v>
      </c>
      <c r="R632" s="16"/>
      <c r="S632" s="16">
        <v>11661</v>
      </c>
      <c r="T632" s="16"/>
      <c r="U632" s="16">
        <v>0</v>
      </c>
      <c r="V632" s="16"/>
      <c r="W632" s="16">
        <v>5438</v>
      </c>
      <c r="X632" s="16"/>
      <c r="Y632" s="16">
        <v>322587</v>
      </c>
      <c r="Z632" s="16"/>
      <c r="AA632" s="16">
        <v>0</v>
      </c>
      <c r="AB632" s="16"/>
      <c r="AC632" s="16">
        <v>0</v>
      </c>
      <c r="AD632" s="16"/>
      <c r="AE632" s="16">
        <f t="shared" si="19"/>
        <v>2140034</v>
      </c>
    </row>
    <row r="633" spans="1:31" ht="12.75" customHeight="1">
      <c r="A633" s="1" t="s">
        <v>421</v>
      </c>
      <c r="B633" s="1"/>
      <c r="C633" s="1" t="s">
        <v>98</v>
      </c>
      <c r="D633" s="16"/>
      <c r="E633" s="16">
        <v>2695</v>
      </c>
      <c r="F633" s="16"/>
      <c r="G633" s="16">
        <v>0</v>
      </c>
      <c r="H633" s="16"/>
      <c r="I633" s="16">
        <f>9296+5587</f>
        <v>14883</v>
      </c>
      <c r="J633" s="16"/>
      <c r="K633" s="16">
        <v>0</v>
      </c>
      <c r="L633" s="16"/>
      <c r="M633" s="16">
        <v>333</v>
      </c>
      <c r="N633" s="16"/>
      <c r="O633" s="16">
        <v>0</v>
      </c>
      <c r="P633" s="16"/>
      <c r="Q633" s="16">
        <v>0</v>
      </c>
      <c r="R633" s="16"/>
      <c r="S633" s="16">
        <f>990+18</f>
        <v>1008</v>
      </c>
      <c r="T633" s="16"/>
      <c r="U633" s="16">
        <v>0</v>
      </c>
      <c r="V633" s="16"/>
      <c r="W633" s="16">
        <v>0</v>
      </c>
      <c r="X633" s="16"/>
      <c r="Y633" s="16">
        <v>0</v>
      </c>
      <c r="Z633" s="16"/>
      <c r="AA633" s="16">
        <v>0</v>
      </c>
      <c r="AB633" s="16"/>
      <c r="AC633" s="16">
        <v>663</v>
      </c>
      <c r="AD633" s="16"/>
      <c r="AE633" s="16">
        <f t="shared" si="19"/>
        <v>19582</v>
      </c>
    </row>
    <row r="634" spans="1:31" ht="12.75" customHeight="1">
      <c r="A634" s="1" t="s">
        <v>763</v>
      </c>
      <c r="C634" s="1" t="s">
        <v>84</v>
      </c>
      <c r="E634" s="16">
        <v>59833</v>
      </c>
      <c r="F634" s="16"/>
      <c r="G634" s="16">
        <v>187168</v>
      </c>
      <c r="H634" s="16"/>
      <c r="I634" s="16">
        <v>463135</v>
      </c>
      <c r="J634" s="16"/>
      <c r="K634" s="16">
        <v>3931</v>
      </c>
      <c r="L634" s="16"/>
      <c r="M634" s="16">
        <v>51613</v>
      </c>
      <c r="N634" s="16"/>
      <c r="O634" s="16">
        <v>16536</v>
      </c>
      <c r="P634" s="16"/>
      <c r="Q634" s="16">
        <v>4995</v>
      </c>
      <c r="R634" s="16"/>
      <c r="S634" s="16">
        <v>15028</v>
      </c>
      <c r="T634" s="16"/>
      <c r="U634" s="16">
        <v>155000</v>
      </c>
      <c r="V634" s="16"/>
      <c r="W634" s="16">
        <v>6500</v>
      </c>
      <c r="X634" s="16"/>
      <c r="Y634" s="16">
        <v>130516</v>
      </c>
      <c r="Z634" s="16"/>
      <c r="AA634" s="16">
        <v>0</v>
      </c>
      <c r="AB634" s="16"/>
      <c r="AC634" s="16">
        <v>0</v>
      </c>
      <c r="AD634" s="16"/>
      <c r="AE634" s="16">
        <f t="shared" si="19"/>
        <v>1094255</v>
      </c>
    </row>
    <row r="635" spans="1:31" ht="12.75" customHeight="1">
      <c r="A635" s="1" t="s">
        <v>444</v>
      </c>
      <c r="B635" s="1"/>
      <c r="C635" s="1" t="s">
        <v>346</v>
      </c>
      <c r="E635" s="16">
        <v>382542</v>
      </c>
      <c r="F635" s="16"/>
      <c r="G635" s="16">
        <v>300099</v>
      </c>
      <c r="H635" s="16"/>
      <c r="I635" s="16">
        <v>901504</v>
      </c>
      <c r="J635" s="16"/>
      <c r="K635" s="16">
        <v>0</v>
      </c>
      <c r="L635" s="16"/>
      <c r="M635" s="16">
        <v>50852</v>
      </c>
      <c r="N635" s="16"/>
      <c r="O635" s="16">
        <v>67321</v>
      </c>
      <c r="P635" s="16"/>
      <c r="Q635" s="16">
        <v>5197</v>
      </c>
      <c r="R635" s="16"/>
      <c r="S635" s="16">
        <v>9595</v>
      </c>
      <c r="T635" s="16"/>
      <c r="U635" s="16">
        <v>0</v>
      </c>
      <c r="V635" s="16"/>
      <c r="W635" s="16">
        <v>0</v>
      </c>
      <c r="X635" s="16"/>
      <c r="Y635" s="16">
        <v>13534</v>
      </c>
      <c r="Z635" s="16"/>
      <c r="AA635" s="16">
        <v>0</v>
      </c>
      <c r="AB635" s="16"/>
      <c r="AC635" s="16">
        <v>0</v>
      </c>
      <c r="AD635" s="16"/>
      <c r="AE635" s="16">
        <f t="shared" si="19"/>
        <v>1730644</v>
      </c>
    </row>
    <row r="636" spans="1:31" ht="12.75" customHeight="1">
      <c r="A636" s="1" t="s">
        <v>767</v>
      </c>
      <c r="C636" s="1" t="s">
        <v>190</v>
      </c>
      <c r="E636" s="16">
        <v>183529</v>
      </c>
      <c r="F636" s="16"/>
      <c r="G636" s="16">
        <v>497546</v>
      </c>
      <c r="H636" s="16"/>
      <c r="I636" s="16">
        <v>219436</v>
      </c>
      <c r="J636" s="16"/>
      <c r="K636" s="16">
        <v>285</v>
      </c>
      <c r="L636" s="16"/>
      <c r="M636" s="16">
        <v>1065</v>
      </c>
      <c r="N636" s="16"/>
      <c r="O636" s="16">
        <v>10264</v>
      </c>
      <c r="P636" s="16"/>
      <c r="Q636" s="16">
        <v>8359</v>
      </c>
      <c r="R636" s="16"/>
      <c r="S636" s="16">
        <v>13219</v>
      </c>
      <c r="T636" s="16"/>
      <c r="U636" s="16">
        <v>0</v>
      </c>
      <c r="V636" s="16"/>
      <c r="W636" s="16">
        <v>0</v>
      </c>
      <c r="X636" s="16"/>
      <c r="Y636" s="16">
        <v>0</v>
      </c>
      <c r="Z636" s="16"/>
      <c r="AA636" s="16">
        <v>6153</v>
      </c>
      <c r="AB636" s="16"/>
      <c r="AC636" s="16">
        <v>0</v>
      </c>
      <c r="AD636" s="16"/>
      <c r="AE636" s="16">
        <f t="shared" si="19"/>
        <v>939856</v>
      </c>
    </row>
    <row r="637" spans="1:31" ht="12.75" customHeight="1">
      <c r="A637" s="1" t="s">
        <v>645</v>
      </c>
      <c r="C637" s="1" t="s">
        <v>274</v>
      </c>
      <c r="E637" s="16">
        <v>110093</v>
      </c>
      <c r="F637" s="16"/>
      <c r="G637" s="16">
        <v>1211738</v>
      </c>
      <c r="H637" s="16"/>
      <c r="I637" s="16">
        <v>121573</v>
      </c>
      <c r="J637" s="16"/>
      <c r="K637" s="16">
        <v>0</v>
      </c>
      <c r="L637" s="16"/>
      <c r="M637" s="16">
        <v>61437</v>
      </c>
      <c r="N637" s="16"/>
      <c r="O637" s="16">
        <v>1695</v>
      </c>
      <c r="P637" s="16"/>
      <c r="Q637" s="16">
        <v>26324</v>
      </c>
      <c r="R637" s="16"/>
      <c r="S637" s="16">
        <v>111986</v>
      </c>
      <c r="T637" s="16"/>
      <c r="U637" s="16">
        <v>0</v>
      </c>
      <c r="V637" s="16"/>
      <c r="W637" s="16">
        <v>0</v>
      </c>
      <c r="X637" s="16"/>
      <c r="Y637" s="16">
        <v>188943</v>
      </c>
      <c r="Z637" s="16"/>
      <c r="AA637" s="16">
        <v>0</v>
      </c>
      <c r="AB637" s="16"/>
      <c r="AC637" s="16">
        <v>0</v>
      </c>
      <c r="AD637" s="16"/>
      <c r="AE637" s="16">
        <f t="shared" si="19"/>
        <v>1833789</v>
      </c>
    </row>
    <row r="638" spans="1:31" ht="12.75" customHeight="1">
      <c r="A638" s="1" t="s">
        <v>778</v>
      </c>
      <c r="C638" s="1" t="s">
        <v>94</v>
      </c>
      <c r="E638" s="16">
        <v>95926</v>
      </c>
      <c r="F638" s="16"/>
      <c r="G638" s="16">
        <v>263648</v>
      </c>
      <c r="H638" s="16"/>
      <c r="I638" s="16">
        <v>544985</v>
      </c>
      <c r="J638" s="16"/>
      <c r="K638" s="16">
        <v>373</v>
      </c>
      <c r="L638" s="16"/>
      <c r="M638" s="16">
        <v>97413</v>
      </c>
      <c r="N638" s="16"/>
      <c r="O638" s="16">
        <v>9664</v>
      </c>
      <c r="P638" s="16"/>
      <c r="Q638" s="16">
        <v>11606</v>
      </c>
      <c r="R638" s="16"/>
      <c r="S638" s="16">
        <v>17283</v>
      </c>
      <c r="T638" s="16"/>
      <c r="U638" s="16">
        <v>100000</v>
      </c>
      <c r="V638" s="16"/>
      <c r="W638" s="16">
        <v>0</v>
      </c>
      <c r="X638" s="16"/>
      <c r="Y638" s="16">
        <v>262653</v>
      </c>
      <c r="Z638" s="16"/>
      <c r="AA638" s="16">
        <v>0</v>
      </c>
      <c r="AB638" s="16"/>
      <c r="AC638" s="16">
        <v>239099</v>
      </c>
      <c r="AD638" s="16"/>
      <c r="AE638" s="16">
        <f t="shared" si="19"/>
        <v>1642650</v>
      </c>
    </row>
    <row r="639" spans="1:31" ht="12.75" customHeight="1">
      <c r="A639" s="1" t="s">
        <v>422</v>
      </c>
      <c r="B639" s="1"/>
      <c r="C639" s="1" t="s">
        <v>250</v>
      </c>
      <c r="D639" s="16"/>
      <c r="E639" s="16">
        <f>267357</f>
        <v>267357</v>
      </c>
      <c r="F639" s="16"/>
      <c r="G639" s="16">
        <v>0</v>
      </c>
      <c r="H639" s="16"/>
      <c r="I639" s="16">
        <v>1519474</v>
      </c>
      <c r="J639" s="16"/>
      <c r="K639" s="16">
        <v>34909</v>
      </c>
      <c r="L639" s="16"/>
      <c r="M639" s="16">
        <v>65804</v>
      </c>
      <c r="N639" s="16"/>
      <c r="O639" s="16">
        <v>94477</v>
      </c>
      <c r="P639" s="16"/>
      <c r="Q639" s="16">
        <v>0</v>
      </c>
      <c r="R639" s="16"/>
      <c r="S639" s="16">
        <f>182946-21138</f>
        <v>161808</v>
      </c>
      <c r="T639" s="16"/>
      <c r="U639" s="16">
        <v>0</v>
      </c>
      <c r="V639" s="16"/>
      <c r="W639" s="16">
        <v>530000</v>
      </c>
      <c r="X639" s="16"/>
      <c r="Y639" s="16">
        <v>1924152</v>
      </c>
      <c r="Z639" s="16"/>
      <c r="AA639" s="16">
        <v>0</v>
      </c>
      <c r="AB639" s="16"/>
      <c r="AC639" s="16">
        <v>664079</v>
      </c>
      <c r="AD639" s="16"/>
      <c r="AE639" s="16">
        <f t="shared" si="19"/>
        <v>5262060</v>
      </c>
    </row>
    <row r="640" spans="1:31" ht="12.75" customHeight="1">
      <c r="A640" s="1" t="s">
        <v>423</v>
      </c>
      <c r="B640" s="1"/>
      <c r="C640" s="1" t="s">
        <v>236</v>
      </c>
      <c r="D640" s="16"/>
      <c r="E640" s="16">
        <v>3841</v>
      </c>
      <c r="F640" s="16"/>
      <c r="G640" s="16">
        <v>0</v>
      </c>
      <c r="H640" s="16"/>
      <c r="I640" s="16">
        <v>17320</v>
      </c>
      <c r="J640" s="16"/>
      <c r="K640" s="16">
        <v>0</v>
      </c>
      <c r="L640" s="16"/>
      <c r="M640" s="16">
        <v>0</v>
      </c>
      <c r="N640" s="16"/>
      <c r="O640" s="16">
        <v>0</v>
      </c>
      <c r="P640" s="16"/>
      <c r="Q640" s="16">
        <v>74</v>
      </c>
      <c r="R640" s="16"/>
      <c r="S640" s="16">
        <v>203</v>
      </c>
      <c r="T640" s="16"/>
      <c r="U640" s="16">
        <v>0</v>
      </c>
      <c r="V640" s="16"/>
      <c r="W640" s="16">
        <v>0</v>
      </c>
      <c r="X640" s="16"/>
      <c r="Y640" s="16">
        <v>0</v>
      </c>
      <c r="Z640" s="16"/>
      <c r="AA640" s="16">
        <v>0</v>
      </c>
      <c r="AB640" s="16"/>
      <c r="AC640" s="16">
        <v>0</v>
      </c>
      <c r="AD640" s="16"/>
      <c r="AE640" s="16">
        <f t="shared" si="19"/>
        <v>21438</v>
      </c>
    </row>
    <row r="641" spans="1:31" ht="12.75" customHeight="1">
      <c r="A641" s="1" t="s">
        <v>498</v>
      </c>
      <c r="C641" s="1" t="s">
        <v>102</v>
      </c>
      <c r="E641" s="16">
        <v>149615</v>
      </c>
      <c r="F641" s="16"/>
      <c r="G641" s="16">
        <v>0</v>
      </c>
      <c r="H641" s="16"/>
      <c r="I641" s="16">
        <v>166005</v>
      </c>
      <c r="J641" s="16"/>
      <c r="K641" s="16">
        <v>0</v>
      </c>
      <c r="L641" s="16"/>
      <c r="M641" s="16">
        <v>48828</v>
      </c>
      <c r="N641" s="16"/>
      <c r="O641" s="16">
        <v>31445</v>
      </c>
      <c r="P641" s="16"/>
      <c r="Q641" s="16">
        <v>17661</v>
      </c>
      <c r="R641" s="16"/>
      <c r="S641" s="16">
        <v>14753</v>
      </c>
      <c r="T641" s="16"/>
      <c r="U641" s="16">
        <v>0</v>
      </c>
      <c r="V641" s="16"/>
      <c r="W641" s="16">
        <v>0</v>
      </c>
      <c r="X641" s="16"/>
      <c r="Y641" s="16">
        <v>460000</v>
      </c>
      <c r="Z641" s="16"/>
      <c r="AA641" s="16">
        <v>0</v>
      </c>
      <c r="AB641" s="16"/>
      <c r="AC641" s="16">
        <v>370633</v>
      </c>
      <c r="AD641" s="16"/>
      <c r="AE641" s="16">
        <f t="shared" si="19"/>
        <v>1258940</v>
      </c>
    </row>
    <row r="642" spans="1:31" ht="12.75" customHeight="1">
      <c r="A642" s="1" t="s">
        <v>689</v>
      </c>
      <c r="C642" s="1" t="s">
        <v>184</v>
      </c>
      <c r="E642" s="16">
        <v>59523</v>
      </c>
      <c r="F642" s="16"/>
      <c r="G642" s="16">
        <v>0</v>
      </c>
      <c r="H642" s="16"/>
      <c r="I642" s="16">
        <v>483926</v>
      </c>
      <c r="J642" s="16"/>
      <c r="K642" s="16">
        <v>0</v>
      </c>
      <c r="L642" s="16"/>
      <c r="M642" s="16">
        <v>37297</v>
      </c>
      <c r="N642" s="16"/>
      <c r="O642" s="16">
        <v>1029</v>
      </c>
      <c r="P642" s="16"/>
      <c r="Q642" s="16">
        <v>5840</v>
      </c>
      <c r="R642" s="16"/>
      <c r="S642" s="16">
        <v>6398</v>
      </c>
      <c r="T642" s="16"/>
      <c r="U642" s="16">
        <v>0</v>
      </c>
      <c r="V642" s="16"/>
      <c r="W642" s="16">
        <v>0</v>
      </c>
      <c r="X642" s="16"/>
      <c r="Y642" s="16">
        <v>0</v>
      </c>
      <c r="Z642" s="16"/>
      <c r="AA642" s="16">
        <v>0</v>
      </c>
      <c r="AB642" s="16"/>
      <c r="AC642" s="16">
        <v>0</v>
      </c>
      <c r="AD642" s="16"/>
      <c r="AE642" s="16">
        <f t="shared" si="19"/>
        <v>594013</v>
      </c>
    </row>
    <row r="643" spans="1:31" ht="12.75" customHeight="1">
      <c r="A643" s="1" t="s">
        <v>424</v>
      </c>
      <c r="B643" s="1"/>
      <c r="C643" s="1" t="s">
        <v>192</v>
      </c>
      <c r="D643" s="16"/>
      <c r="E643" s="16">
        <v>22035</v>
      </c>
      <c r="F643" s="16"/>
      <c r="G643" s="16">
        <v>0</v>
      </c>
      <c r="H643" s="16"/>
      <c r="I643" s="16">
        <v>79286</v>
      </c>
      <c r="J643" s="16"/>
      <c r="K643" s="16">
        <v>0</v>
      </c>
      <c r="L643" s="16"/>
      <c r="M643" s="16">
        <v>19540</v>
      </c>
      <c r="N643" s="16"/>
      <c r="O643" s="16">
        <v>0</v>
      </c>
      <c r="P643" s="16"/>
      <c r="Q643" s="16">
        <v>2187</v>
      </c>
      <c r="R643" s="16"/>
      <c r="S643" s="16">
        <v>36205</v>
      </c>
      <c r="T643" s="16"/>
      <c r="U643" s="16">
        <v>0</v>
      </c>
      <c r="V643" s="16"/>
      <c r="W643" s="16">
        <v>0</v>
      </c>
      <c r="X643" s="16"/>
      <c r="Y643" s="16">
        <v>8000</v>
      </c>
      <c r="Z643" s="16"/>
      <c r="AA643" s="16">
        <v>0</v>
      </c>
      <c r="AB643" s="16"/>
      <c r="AC643" s="16">
        <v>0</v>
      </c>
      <c r="AD643" s="16"/>
      <c r="AE643" s="16">
        <f t="shared" si="19"/>
        <v>167253</v>
      </c>
    </row>
    <row r="644" spans="1:31" ht="12.75" customHeight="1">
      <c r="A644" s="1" t="s">
        <v>733</v>
      </c>
      <c r="C644" s="1" t="s">
        <v>106</v>
      </c>
      <c r="E644" s="16">
        <v>12821</v>
      </c>
      <c r="F644" s="16"/>
      <c r="G644" s="16">
        <v>89850</v>
      </c>
      <c r="H644" s="16"/>
      <c r="I644" s="16">
        <v>21621</v>
      </c>
      <c r="J644" s="16"/>
      <c r="K644" s="16">
        <v>0</v>
      </c>
      <c r="L644" s="16"/>
      <c r="M644" s="16">
        <v>0</v>
      </c>
      <c r="N644" s="16"/>
      <c r="O644" s="16">
        <v>4962</v>
      </c>
      <c r="P644" s="16"/>
      <c r="Q644" s="16">
        <v>549</v>
      </c>
      <c r="R644" s="16"/>
      <c r="S644" s="16">
        <v>2059</v>
      </c>
      <c r="T644" s="16"/>
      <c r="U644" s="16">
        <v>0</v>
      </c>
      <c r="V644" s="16"/>
      <c r="W644" s="16">
        <v>0</v>
      </c>
      <c r="X644" s="16"/>
      <c r="Y644" s="16">
        <v>17080</v>
      </c>
      <c r="Z644" s="16"/>
      <c r="AA644" s="16">
        <v>0</v>
      </c>
      <c r="AB644" s="16"/>
      <c r="AC644" s="16">
        <v>0</v>
      </c>
      <c r="AD644" s="16"/>
      <c r="AE644" s="16">
        <f t="shared" si="19"/>
        <v>148942</v>
      </c>
    </row>
    <row r="645" spans="1:31" ht="12.75" customHeight="1">
      <c r="A645" s="1" t="s">
        <v>425</v>
      </c>
      <c r="B645" s="1"/>
      <c r="C645" s="1" t="s">
        <v>80</v>
      </c>
      <c r="D645" s="16"/>
      <c r="E645" s="16">
        <v>7744</v>
      </c>
      <c r="F645" s="16"/>
      <c r="G645" s="16">
        <v>0</v>
      </c>
      <c r="H645" s="16"/>
      <c r="I645" s="16">
        <v>14848</v>
      </c>
      <c r="J645" s="16"/>
      <c r="K645" s="16">
        <v>0</v>
      </c>
      <c r="L645" s="16"/>
      <c r="M645" s="16">
        <v>0</v>
      </c>
      <c r="N645" s="16"/>
      <c r="O645" s="16">
        <v>0</v>
      </c>
      <c r="P645" s="16"/>
      <c r="Q645" s="16">
        <v>0</v>
      </c>
      <c r="R645" s="16"/>
      <c r="S645" s="16">
        <v>51</v>
      </c>
      <c r="T645" s="16"/>
      <c r="U645" s="16">
        <v>0</v>
      </c>
      <c r="V645" s="16"/>
      <c r="W645" s="16">
        <v>0</v>
      </c>
      <c r="X645" s="16"/>
      <c r="Y645" s="16">
        <v>0</v>
      </c>
      <c r="Z645" s="16"/>
      <c r="AA645" s="16">
        <v>0</v>
      </c>
      <c r="AB645" s="16"/>
      <c r="AC645" s="16">
        <v>0</v>
      </c>
      <c r="AD645" s="16"/>
      <c r="AE645" s="16">
        <f t="shared" si="19"/>
        <v>22643</v>
      </c>
    </row>
    <row r="646" spans="1:31" ht="12.75" customHeight="1">
      <c r="A646" s="1" t="s">
        <v>445</v>
      </c>
      <c r="B646" s="1"/>
      <c r="C646" s="1" t="s">
        <v>346</v>
      </c>
      <c r="E646" s="16">
        <v>96646</v>
      </c>
      <c r="F646" s="16"/>
      <c r="G646" s="16">
        <v>0</v>
      </c>
      <c r="H646" s="16"/>
      <c r="I646" s="16">
        <v>64349</v>
      </c>
      <c r="J646" s="16"/>
      <c r="K646" s="16">
        <v>0</v>
      </c>
      <c r="L646" s="16"/>
      <c r="M646" s="16">
        <v>0</v>
      </c>
      <c r="N646" s="16"/>
      <c r="O646" s="16">
        <v>38319</v>
      </c>
      <c r="P646" s="16"/>
      <c r="Q646" s="16">
        <v>6656</v>
      </c>
      <c r="R646" s="16"/>
      <c r="S646" s="16">
        <v>5156</v>
      </c>
      <c r="T646" s="16"/>
      <c r="U646" s="16">
        <v>0</v>
      </c>
      <c r="V646" s="16"/>
      <c r="W646" s="16">
        <v>0</v>
      </c>
      <c r="X646" s="16"/>
      <c r="Y646" s="16">
        <v>0</v>
      </c>
      <c r="Z646" s="16"/>
      <c r="AA646" s="16">
        <v>0</v>
      </c>
      <c r="AB646" s="16"/>
      <c r="AC646" s="16">
        <v>0</v>
      </c>
      <c r="AD646" s="16"/>
      <c r="AE646" s="16">
        <f t="shared" si="19"/>
        <v>211126</v>
      </c>
    </row>
    <row r="647" spans="1:31" ht="12.75" customHeight="1">
      <c r="A647" s="1" t="s">
        <v>694</v>
      </c>
      <c r="C647" s="1" t="s">
        <v>137</v>
      </c>
      <c r="E647" s="16">
        <v>81618</v>
      </c>
      <c r="F647" s="16"/>
      <c r="G647" s="16">
        <v>356189</v>
      </c>
      <c r="H647" s="16"/>
      <c r="I647" s="16">
        <v>220771</v>
      </c>
      <c r="J647" s="16"/>
      <c r="K647" s="16">
        <v>7202</v>
      </c>
      <c r="L647" s="16"/>
      <c r="M647" s="16">
        <v>53254</v>
      </c>
      <c r="N647" s="16"/>
      <c r="O647" s="16">
        <v>12502</v>
      </c>
      <c r="P647" s="16"/>
      <c r="Q647" s="16">
        <v>887</v>
      </c>
      <c r="R647" s="16"/>
      <c r="S647" s="16">
        <v>31846</v>
      </c>
      <c r="T647" s="16"/>
      <c r="U647" s="16">
        <v>0</v>
      </c>
      <c r="V647" s="16"/>
      <c r="W647" s="16">
        <v>0</v>
      </c>
      <c r="X647" s="16"/>
      <c r="Y647" s="16">
        <v>55000</v>
      </c>
      <c r="Z647" s="16"/>
      <c r="AA647" s="16">
        <v>373</v>
      </c>
      <c r="AB647" s="16"/>
      <c r="AC647" s="16">
        <v>6173</v>
      </c>
      <c r="AD647" s="16"/>
      <c r="AE647" s="16">
        <f t="shared" si="19"/>
        <v>825815</v>
      </c>
    </row>
    <row r="648" spans="1:31" ht="12.75" customHeight="1">
      <c r="A648" s="1" t="s">
        <v>603</v>
      </c>
      <c r="C648" s="1" t="s">
        <v>69</v>
      </c>
      <c r="E648" s="16">
        <v>293156</v>
      </c>
      <c r="F648" s="16"/>
      <c r="G648" s="16">
        <v>645363</v>
      </c>
      <c r="H648" s="16"/>
      <c r="I648" s="16">
        <v>728041</v>
      </c>
      <c r="J648" s="16"/>
      <c r="K648" s="16">
        <v>0</v>
      </c>
      <c r="L648" s="16"/>
      <c r="M648" s="16">
        <v>36675</v>
      </c>
      <c r="N648" s="16"/>
      <c r="O648" s="16">
        <v>108160</v>
      </c>
      <c r="P648" s="16"/>
      <c r="Q648" s="16">
        <v>22626</v>
      </c>
      <c r="R648" s="16"/>
      <c r="S648" s="16">
        <v>10788</v>
      </c>
      <c r="T648" s="16"/>
      <c r="U648" s="16">
        <v>166797</v>
      </c>
      <c r="V648" s="16"/>
      <c r="W648" s="16">
        <v>0</v>
      </c>
      <c r="X648" s="16"/>
      <c r="Y648" s="16">
        <v>93628</v>
      </c>
      <c r="Z648" s="16"/>
      <c r="AA648" s="16">
        <v>0</v>
      </c>
      <c r="AB648" s="16"/>
      <c r="AC648" s="16">
        <v>0</v>
      </c>
      <c r="AD648" s="16"/>
      <c r="AE648" s="16">
        <f t="shared" si="19"/>
        <v>2105234</v>
      </c>
    </row>
    <row r="649" spans="1:31" ht="12.75" customHeight="1">
      <c r="A649" s="1" t="s">
        <v>426</v>
      </c>
      <c r="B649" s="1"/>
      <c r="C649" s="1" t="s">
        <v>73</v>
      </c>
      <c r="D649" s="16"/>
      <c r="E649" s="16">
        <v>4063770</v>
      </c>
      <c r="F649" s="16"/>
      <c r="G649" s="16">
        <v>0</v>
      </c>
      <c r="H649" s="16"/>
      <c r="I649" s="16">
        <v>958668</v>
      </c>
      <c r="J649" s="16"/>
      <c r="K649" s="16">
        <v>12009</v>
      </c>
      <c r="L649" s="16"/>
      <c r="M649" s="16">
        <v>175003</v>
      </c>
      <c r="N649" s="16"/>
      <c r="O649" s="16">
        <v>168208</v>
      </c>
      <c r="P649" s="16"/>
      <c r="Q649" s="16">
        <v>12240</v>
      </c>
      <c r="R649" s="16"/>
      <c r="S649" s="16">
        <v>189789</v>
      </c>
      <c r="T649" s="16"/>
      <c r="U649" s="16">
        <v>400000</v>
      </c>
      <c r="V649" s="16"/>
      <c r="W649" s="16">
        <v>0</v>
      </c>
      <c r="X649" s="16"/>
      <c r="Y649" s="16">
        <v>1073901</v>
      </c>
      <c r="Z649" s="16"/>
      <c r="AA649" s="16">
        <v>0</v>
      </c>
      <c r="AB649" s="16"/>
      <c r="AC649" s="16">
        <v>0</v>
      </c>
      <c r="AD649" s="16"/>
      <c r="AE649" s="16">
        <f t="shared" si="19"/>
        <v>7053588</v>
      </c>
    </row>
    <row r="650" spans="1:31" ht="12.75" customHeight="1">
      <c r="A650" s="1" t="s">
        <v>427</v>
      </c>
      <c r="B650" s="1"/>
      <c r="C650" s="1" t="s">
        <v>112</v>
      </c>
      <c r="D650" s="16"/>
      <c r="E650" s="16">
        <v>1793426</v>
      </c>
      <c r="F650" s="16"/>
      <c r="G650" s="16">
        <v>0</v>
      </c>
      <c r="H650" s="16"/>
      <c r="I650" s="16">
        <v>369122</v>
      </c>
      <c r="J650" s="16"/>
      <c r="K650" s="16">
        <v>0</v>
      </c>
      <c r="L650" s="16"/>
      <c r="M650" s="16">
        <v>34718</v>
      </c>
      <c r="N650" s="16"/>
      <c r="O650" s="16">
        <v>183571</v>
      </c>
      <c r="P650" s="16"/>
      <c r="Q650" s="16">
        <v>0</v>
      </c>
      <c r="R650" s="16"/>
      <c r="S650" s="16">
        <v>46314</v>
      </c>
      <c r="T650" s="16"/>
      <c r="U650" s="16">
        <v>1573963</v>
      </c>
      <c r="V650" s="16"/>
      <c r="W650" s="16">
        <v>25</v>
      </c>
      <c r="X650" s="16"/>
      <c r="Y650" s="16">
        <v>47000</v>
      </c>
      <c r="Z650" s="16"/>
      <c r="AA650" s="16">
        <v>37600</v>
      </c>
      <c r="AB650" s="16"/>
      <c r="AC650" s="16">
        <v>21611</v>
      </c>
      <c r="AD650" s="16"/>
      <c r="AE650" s="16">
        <f t="shared" si="19"/>
        <v>4107350</v>
      </c>
    </row>
    <row r="651" spans="1:31" ht="12.75" customHeight="1">
      <c r="A651" s="1" t="s">
        <v>661</v>
      </c>
      <c r="C651" s="1" t="s">
        <v>80</v>
      </c>
      <c r="E651" s="16">
        <v>197868</v>
      </c>
      <c r="F651" s="16"/>
      <c r="G651" s="16">
        <v>393434</v>
      </c>
      <c r="H651" s="16"/>
      <c r="I651" s="16">
        <v>208234</v>
      </c>
      <c r="J651" s="16"/>
      <c r="K651" s="16">
        <v>498992</v>
      </c>
      <c r="L651" s="16"/>
      <c r="M651" s="16">
        <v>139915</v>
      </c>
      <c r="N651" s="16"/>
      <c r="O651" s="16">
        <v>21246</v>
      </c>
      <c r="P651" s="16"/>
      <c r="Q651" s="16">
        <v>5059</v>
      </c>
      <c r="R651" s="16"/>
      <c r="S651" s="16">
        <v>118317</v>
      </c>
      <c r="T651" s="16"/>
      <c r="U651" s="16">
        <v>63600</v>
      </c>
      <c r="V651" s="16"/>
      <c r="W651" s="16">
        <v>0</v>
      </c>
      <c r="X651" s="16"/>
      <c r="Y651" s="16">
        <v>9774</v>
      </c>
      <c r="Z651" s="16"/>
      <c r="AA651" s="16">
        <v>0</v>
      </c>
      <c r="AB651" s="16"/>
      <c r="AC651" s="16">
        <v>195</v>
      </c>
      <c r="AD651" s="16"/>
      <c r="AE651" s="16">
        <f t="shared" si="19"/>
        <v>1656634</v>
      </c>
    </row>
    <row r="652" spans="1:31" ht="12.75" customHeight="1">
      <c r="A652" s="1" t="s">
        <v>428</v>
      </c>
      <c r="B652" s="1"/>
      <c r="C652" s="1" t="s">
        <v>312</v>
      </c>
      <c r="E652" s="16">
        <v>10521</v>
      </c>
      <c r="F652" s="16"/>
      <c r="G652" s="16">
        <v>0</v>
      </c>
      <c r="H652" s="16"/>
      <c r="I652" s="16">
        <v>18997</v>
      </c>
      <c r="J652" s="16"/>
      <c r="K652" s="16">
        <v>0</v>
      </c>
      <c r="L652" s="16"/>
      <c r="M652" s="16">
        <v>0</v>
      </c>
      <c r="N652" s="16"/>
      <c r="O652" s="16">
        <v>482</v>
      </c>
      <c r="P652" s="16"/>
      <c r="Q652" s="16">
        <v>1128</v>
      </c>
      <c r="R652" s="16"/>
      <c r="S652" s="16">
        <v>312</v>
      </c>
      <c r="T652" s="16"/>
      <c r="U652" s="16">
        <v>0</v>
      </c>
      <c r="V652" s="16"/>
      <c r="W652" s="16">
        <v>0</v>
      </c>
      <c r="X652" s="16"/>
      <c r="Y652" s="16">
        <v>0</v>
      </c>
      <c r="Z652" s="16"/>
      <c r="AA652" s="16">
        <v>0</v>
      </c>
      <c r="AB652" s="16"/>
      <c r="AC652" s="16">
        <v>0</v>
      </c>
      <c r="AD652" s="16"/>
      <c r="AE652" s="16">
        <f t="shared" si="19"/>
        <v>31440</v>
      </c>
    </row>
    <row r="653" spans="1:31" ht="12.75" customHeight="1">
      <c r="A653" s="1" t="s">
        <v>429</v>
      </c>
      <c r="B653" s="1"/>
      <c r="C653" s="1" t="s">
        <v>142</v>
      </c>
      <c r="E653" s="16">
        <v>280729</v>
      </c>
      <c r="F653" s="16"/>
      <c r="G653" s="16">
        <v>0</v>
      </c>
      <c r="H653" s="16"/>
      <c r="I653" s="16">
        <v>429062</v>
      </c>
      <c r="J653" s="16"/>
      <c r="K653" s="16">
        <v>0</v>
      </c>
      <c r="L653" s="16"/>
      <c r="M653" s="16">
        <v>50813</v>
      </c>
      <c r="N653" s="16"/>
      <c r="O653" s="16">
        <v>48629</v>
      </c>
      <c r="P653" s="16"/>
      <c r="Q653" s="16">
        <v>13814</v>
      </c>
      <c r="R653" s="16"/>
      <c r="S653" s="16">
        <v>13788</v>
      </c>
      <c r="T653" s="16"/>
      <c r="U653" s="16">
        <v>0</v>
      </c>
      <c r="V653" s="16"/>
      <c r="W653" s="16">
        <v>0</v>
      </c>
      <c r="X653" s="16"/>
      <c r="Y653" s="16">
        <v>18430</v>
      </c>
      <c r="Z653" s="16"/>
      <c r="AA653" s="16">
        <v>0</v>
      </c>
      <c r="AB653" s="16"/>
      <c r="AC653" s="16">
        <v>0</v>
      </c>
      <c r="AD653" s="16"/>
      <c r="AE653" s="16">
        <f t="shared" si="19"/>
        <v>855265</v>
      </c>
    </row>
    <row r="654" spans="1:31" ht="12.75" customHeight="1">
      <c r="A654" s="1" t="s">
        <v>751</v>
      </c>
      <c r="C654" s="1" t="s">
        <v>192</v>
      </c>
      <c r="E654" s="16">
        <v>16082</v>
      </c>
      <c r="F654" s="16"/>
      <c r="G654" s="16">
        <v>0</v>
      </c>
      <c r="H654" s="16"/>
      <c r="I654" s="16">
        <v>49101</v>
      </c>
      <c r="J654" s="16"/>
      <c r="K654" s="16">
        <v>0</v>
      </c>
      <c r="L654" s="16"/>
      <c r="M654" s="16">
        <v>41304</v>
      </c>
      <c r="N654" s="16"/>
      <c r="O654" s="16">
        <v>0</v>
      </c>
      <c r="P654" s="16"/>
      <c r="Q654" s="16">
        <v>303</v>
      </c>
      <c r="R654" s="16"/>
      <c r="S654" s="16">
        <v>10888</v>
      </c>
      <c r="T654" s="16"/>
      <c r="U654" s="16">
        <v>0</v>
      </c>
      <c r="V654" s="16"/>
      <c r="W654" s="16">
        <v>0</v>
      </c>
      <c r="X654" s="16"/>
      <c r="Y654" s="16">
        <v>0</v>
      </c>
      <c r="Z654" s="16"/>
      <c r="AA654" s="16">
        <v>0</v>
      </c>
      <c r="AB654" s="16"/>
      <c r="AC654" s="16">
        <v>442</v>
      </c>
      <c r="AD654" s="16"/>
      <c r="AE654" s="16">
        <f t="shared" si="19"/>
        <v>118120</v>
      </c>
    </row>
    <row r="655" spans="1:31" s="16" customFormat="1" ht="12.75" customHeight="1">
      <c r="A655" s="16" t="s">
        <v>737</v>
      </c>
      <c r="B655" s="41"/>
      <c r="C655" s="16" t="s">
        <v>276</v>
      </c>
      <c r="E655" s="16">
        <v>11563</v>
      </c>
      <c r="G655" s="16">
        <v>0</v>
      </c>
      <c r="I655" s="16">
        <v>6149</v>
      </c>
      <c r="K655" s="16">
        <v>0</v>
      </c>
      <c r="M655" s="16">
        <v>0</v>
      </c>
      <c r="O655" s="16">
        <v>615</v>
      </c>
      <c r="Q655" s="16">
        <v>59</v>
      </c>
      <c r="S655" s="16">
        <v>0</v>
      </c>
      <c r="U655" s="16">
        <v>0</v>
      </c>
      <c r="W655" s="16">
        <v>0</v>
      </c>
      <c r="Y655" s="16">
        <v>0</v>
      </c>
      <c r="AA655" s="16">
        <v>0</v>
      </c>
      <c r="AC655" s="16">
        <v>0</v>
      </c>
      <c r="AE655" s="16">
        <f t="shared" si="19"/>
        <v>18386</v>
      </c>
    </row>
    <row r="656" spans="1:31" ht="12.75" customHeight="1">
      <c r="A656" s="1" t="s">
        <v>430</v>
      </c>
      <c r="B656" s="1"/>
      <c r="C656" s="1" t="s">
        <v>157</v>
      </c>
      <c r="D656" s="16"/>
      <c r="E656" s="16">
        <v>177443</v>
      </c>
      <c r="F656" s="16"/>
      <c r="G656" s="16">
        <v>1406439</v>
      </c>
      <c r="H656" s="16"/>
      <c r="I656" s="16">
        <v>419738</v>
      </c>
      <c r="J656" s="16"/>
      <c r="K656" s="16">
        <v>4887</v>
      </c>
      <c r="L656" s="16"/>
      <c r="M656" s="16">
        <v>37594</v>
      </c>
      <c r="N656" s="16"/>
      <c r="O656" s="16">
        <v>41161</v>
      </c>
      <c r="P656" s="16"/>
      <c r="Q656" s="16">
        <v>30731</v>
      </c>
      <c r="R656" s="16"/>
      <c r="S656" s="16">
        <v>252026</v>
      </c>
      <c r="T656" s="16"/>
      <c r="U656" s="16">
        <v>0</v>
      </c>
      <c r="V656" s="16"/>
      <c r="W656" s="16">
        <v>0</v>
      </c>
      <c r="X656" s="16"/>
      <c r="Y656" s="16">
        <v>1075256</v>
      </c>
      <c r="Z656" s="16"/>
      <c r="AA656" s="16">
        <v>0</v>
      </c>
      <c r="AB656" s="16"/>
      <c r="AC656" s="16">
        <v>11607</v>
      </c>
      <c r="AD656" s="16"/>
      <c r="AE656" s="16">
        <f t="shared" si="19"/>
        <v>3456882</v>
      </c>
    </row>
    <row r="657" spans="1:31" ht="12.75" customHeight="1">
      <c r="A657" s="1" t="s">
        <v>784</v>
      </c>
      <c r="B657" s="1"/>
      <c r="E657" s="1"/>
      <c r="F657" s="1"/>
      <c r="G657" s="1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20"/>
      <c r="AC657" s="16"/>
      <c r="AD657" s="20"/>
      <c r="AE657" s="32" t="s">
        <v>785</v>
      </c>
    </row>
    <row r="658" spans="1:31" s="36" customFormat="1" ht="12.75" customHeight="1">
      <c r="A658" s="36" t="s">
        <v>431</v>
      </c>
      <c r="C658" s="36" t="s">
        <v>78</v>
      </c>
      <c r="E658" s="36">
        <v>1364</v>
      </c>
      <c r="G658" s="36">
        <v>36701</v>
      </c>
      <c r="I658" s="36">
        <v>0</v>
      </c>
      <c r="K658" s="36">
        <v>0</v>
      </c>
      <c r="M658" s="36">
        <v>0</v>
      </c>
      <c r="O658" s="36">
        <v>0</v>
      </c>
      <c r="Q658" s="36">
        <v>326</v>
      </c>
      <c r="S658" s="36">
        <v>1561</v>
      </c>
      <c r="U658" s="36">
        <v>0</v>
      </c>
      <c r="W658" s="36">
        <v>0</v>
      </c>
      <c r="Y658" s="36">
        <v>0</v>
      </c>
      <c r="AA658" s="36">
        <v>0</v>
      </c>
      <c r="AC658" s="36">
        <v>0</v>
      </c>
      <c r="AE658" s="36">
        <f>SUM(E658:AC658)</f>
        <v>39952</v>
      </c>
    </row>
    <row r="659" spans="1:31" ht="12.75" customHeight="1">
      <c r="A659" s="1" t="s">
        <v>432</v>
      </c>
      <c r="B659" s="1"/>
      <c r="C659" s="1" t="s">
        <v>69</v>
      </c>
      <c r="D659" s="16"/>
      <c r="E659" s="16">
        <f>185013+53347+3921+20784</f>
        <v>263065</v>
      </c>
      <c r="F659" s="16"/>
      <c r="G659" s="16">
        <v>0</v>
      </c>
      <c r="H659" s="16"/>
      <c r="I659" s="16">
        <v>76655</v>
      </c>
      <c r="J659" s="16"/>
      <c r="K659" s="16">
        <v>0</v>
      </c>
      <c r="L659" s="16"/>
      <c r="M659" s="16">
        <v>6803</v>
      </c>
      <c r="N659" s="16"/>
      <c r="O659" s="16">
        <v>12155</v>
      </c>
      <c r="P659" s="16"/>
      <c r="Q659" s="16">
        <v>18634</v>
      </c>
      <c r="R659" s="16"/>
      <c r="S659" s="16">
        <v>51212</v>
      </c>
      <c r="T659" s="16"/>
      <c r="U659" s="16">
        <v>0</v>
      </c>
      <c r="V659" s="16"/>
      <c r="W659" s="16">
        <v>0</v>
      </c>
      <c r="X659" s="16"/>
      <c r="Y659" s="16">
        <v>0</v>
      </c>
      <c r="Z659" s="16"/>
      <c r="AA659" s="16">
        <v>0</v>
      </c>
      <c r="AB659" s="16"/>
      <c r="AC659" s="16">
        <v>0</v>
      </c>
      <c r="AD659" s="16"/>
      <c r="AE659" s="16">
        <f>SUM(E659:AC659)</f>
        <v>428524</v>
      </c>
    </row>
    <row r="660" spans="1:31" ht="12.75" customHeight="1">
      <c r="A660" s="1" t="s">
        <v>433</v>
      </c>
      <c r="B660" s="1"/>
      <c r="C660" s="1" t="s">
        <v>236</v>
      </c>
      <c r="D660" s="16"/>
      <c r="E660" s="16">
        <v>19164</v>
      </c>
      <c r="F660" s="16"/>
      <c r="G660" s="16">
        <v>0</v>
      </c>
      <c r="H660" s="16"/>
      <c r="I660" s="16">
        <v>34075</v>
      </c>
      <c r="J660" s="16"/>
      <c r="K660" s="16">
        <v>0</v>
      </c>
      <c r="L660" s="16"/>
      <c r="M660" s="16">
        <v>6600</v>
      </c>
      <c r="N660" s="16"/>
      <c r="O660" s="16">
        <v>0</v>
      </c>
      <c r="P660" s="16"/>
      <c r="Q660" s="16">
        <v>0</v>
      </c>
      <c r="R660" s="16"/>
      <c r="S660" s="16">
        <v>24</v>
      </c>
      <c r="T660" s="16"/>
      <c r="U660" s="16">
        <v>0</v>
      </c>
      <c r="V660" s="16"/>
      <c r="W660" s="16">
        <v>0</v>
      </c>
      <c r="X660" s="16"/>
      <c r="Y660" s="16">
        <v>0</v>
      </c>
      <c r="Z660" s="16"/>
      <c r="AA660" s="16">
        <v>0</v>
      </c>
      <c r="AB660" s="16"/>
      <c r="AC660" s="16">
        <v>0</v>
      </c>
      <c r="AD660" s="16"/>
      <c r="AE660" s="16">
        <f>SUM(E660:AC660)</f>
        <v>59863</v>
      </c>
    </row>
    <row r="661" spans="1:31" ht="12.75" customHeight="1">
      <c r="A661" s="1" t="s">
        <v>434</v>
      </c>
      <c r="B661" s="1"/>
      <c r="C661" s="1" t="s">
        <v>369</v>
      </c>
      <c r="D661" s="16"/>
      <c r="E661" s="16">
        <v>17131</v>
      </c>
      <c r="F661" s="16"/>
      <c r="G661" s="16">
        <v>0</v>
      </c>
      <c r="H661" s="16"/>
      <c r="I661" s="16">
        <v>752</v>
      </c>
      <c r="J661" s="16"/>
      <c r="K661" s="16">
        <v>0</v>
      </c>
      <c r="L661" s="16"/>
      <c r="M661" s="16">
        <v>0</v>
      </c>
      <c r="N661" s="16"/>
      <c r="O661" s="16">
        <v>10335</v>
      </c>
      <c r="P661" s="16"/>
      <c r="Q661" s="16">
        <v>0</v>
      </c>
      <c r="R661" s="16"/>
      <c r="S661" s="16">
        <v>76463</v>
      </c>
      <c r="T661" s="16"/>
      <c r="U661" s="16">
        <v>0</v>
      </c>
      <c r="V661" s="16"/>
      <c r="W661" s="16">
        <v>0</v>
      </c>
      <c r="X661" s="16"/>
      <c r="Y661" s="16">
        <v>0</v>
      </c>
      <c r="Z661" s="16"/>
      <c r="AA661" s="16">
        <v>0</v>
      </c>
      <c r="AB661" s="16"/>
      <c r="AC661" s="16">
        <v>0</v>
      </c>
      <c r="AD661" s="16"/>
      <c r="AE661" s="16">
        <f>SUM(E661:AC661)</f>
        <v>104681</v>
      </c>
    </row>
    <row r="662" spans="1:31" ht="12.75" customHeight="1">
      <c r="A662" s="1" t="s">
        <v>742</v>
      </c>
      <c r="C662" s="1" t="s">
        <v>96</v>
      </c>
      <c r="E662" s="16">
        <v>29716</v>
      </c>
      <c r="F662" s="16"/>
      <c r="G662" s="16">
        <v>0</v>
      </c>
      <c r="H662" s="16"/>
      <c r="I662" s="16">
        <v>17775</v>
      </c>
      <c r="J662" s="16"/>
      <c r="K662" s="16">
        <v>0</v>
      </c>
      <c r="L662" s="16"/>
      <c r="M662" s="16">
        <v>800</v>
      </c>
      <c r="N662" s="16"/>
      <c r="O662" s="16">
        <v>1392</v>
      </c>
      <c r="P662" s="16"/>
      <c r="Q662" s="16">
        <v>375</v>
      </c>
      <c r="R662" s="16"/>
      <c r="S662" s="16">
        <v>372</v>
      </c>
      <c r="T662" s="16"/>
      <c r="U662" s="16">
        <v>0</v>
      </c>
      <c r="V662" s="16"/>
      <c r="W662" s="16">
        <v>0</v>
      </c>
      <c r="X662" s="16"/>
      <c r="Y662" s="16">
        <v>0</v>
      </c>
      <c r="Z662" s="16"/>
      <c r="AA662" s="16">
        <v>0</v>
      </c>
      <c r="AB662" s="16"/>
      <c r="AC662" s="16">
        <v>0</v>
      </c>
      <c r="AD662" s="16"/>
      <c r="AE662" s="16">
        <f>SUM(E662:AC662)</f>
        <v>50430</v>
      </c>
    </row>
    <row r="664" ht="12.75" customHeight="1">
      <c r="A664" s="1" t="s">
        <v>784</v>
      </c>
    </row>
  </sheetData>
  <printOptions horizontalCentered="1"/>
  <pageMargins left="1" right="1" top="0.5" bottom="0.5" header="0" footer="0.25"/>
  <pageSetup firstPageNumber="48" useFirstPageNumber="1" horizontalDpi="1200" verticalDpi="1200" orientation="portrait" pageOrder="overThenDown" scale="80" r:id="rId1"/>
  <headerFooter alignWithMargins="0">
    <oddFooter>&amp;C&amp;"Times New Roman,Regular"&amp;11&amp;P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62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5.7109375" style="1" customWidth="1"/>
    <col min="2" max="2" width="1.7109375" style="0" customWidth="1"/>
    <col min="3" max="3" width="11.7109375" style="1" customWidth="1"/>
    <col min="4" max="4" width="1.7109375" style="1" customWidth="1"/>
    <col min="5" max="5" width="10.7109375" style="16" customWidth="1"/>
    <col min="6" max="6" width="1.7109375" style="16" customWidth="1"/>
    <col min="7" max="7" width="10.7109375" style="16" customWidth="1"/>
    <col min="8" max="8" width="1.7109375" style="16" customWidth="1"/>
    <col min="9" max="9" width="10.7109375" style="16" customWidth="1"/>
    <col min="10" max="10" width="1.7109375" style="16" customWidth="1"/>
    <col min="11" max="11" width="10.7109375" style="16" customWidth="1"/>
    <col min="12" max="12" width="1.7109375" style="16" customWidth="1"/>
    <col min="13" max="13" width="10.7109375" style="16" customWidth="1"/>
    <col min="14" max="14" width="1.7109375" style="16" customWidth="1"/>
    <col min="15" max="15" width="11.7109375" style="22" customWidth="1"/>
    <col min="16" max="16" width="1.7109375" style="16" customWidth="1"/>
    <col min="17" max="17" width="11.7109375" style="16" customWidth="1"/>
    <col min="18" max="18" width="1.7109375" style="16" customWidth="1"/>
    <col min="19" max="19" width="10.7109375" style="16" customWidth="1"/>
    <col min="20" max="20" width="1.7109375" style="16" customWidth="1"/>
    <col min="21" max="21" width="10.7109375" style="16" customWidth="1"/>
    <col min="22" max="22" width="1.7109375" style="16" customWidth="1"/>
    <col min="23" max="23" width="10.7109375" style="16" customWidth="1"/>
    <col min="24" max="24" width="1.7109375" style="16" customWidth="1"/>
    <col min="25" max="25" width="11.7109375" style="16" customWidth="1"/>
    <col min="26" max="26" width="1.7109375" style="16" customWidth="1"/>
    <col min="27" max="27" width="11.7109375" style="16" customWidth="1"/>
    <col min="28" max="28" width="1.7109375" style="16" customWidth="1"/>
    <col min="29" max="29" width="10.7109375" style="16" customWidth="1"/>
    <col min="30" max="30" width="1.7109375" style="16" customWidth="1"/>
    <col min="31" max="31" width="11.7109375" style="16" customWidth="1"/>
    <col min="32" max="32" width="1.7109375" style="16" customWidth="1"/>
    <col min="33" max="33" width="9.140625" style="1" customWidth="1"/>
    <col min="34" max="34" width="1.7109375" style="1" customWidth="1"/>
    <col min="35" max="16384" width="9.140625" style="1" customWidth="1"/>
  </cols>
  <sheetData>
    <row r="1" ht="12.75" customHeight="1">
      <c r="A1" s="6" t="s">
        <v>2</v>
      </c>
    </row>
    <row r="2" ht="12.75" customHeight="1">
      <c r="A2" s="6" t="s">
        <v>60</v>
      </c>
    </row>
    <row r="4" spans="1:31" ht="12.75" customHeight="1">
      <c r="A4" s="6" t="s">
        <v>785</v>
      </c>
      <c r="O4" s="16"/>
      <c r="Y4" s="22"/>
      <c r="Z4" s="22"/>
      <c r="AA4" s="20"/>
      <c r="AB4" s="20"/>
      <c r="AC4" s="20"/>
      <c r="AD4" s="20"/>
      <c r="AE4" s="22"/>
    </row>
    <row r="5" spans="1:32" ht="12.75" customHeight="1">
      <c r="A5" s="6"/>
      <c r="C5" s="5"/>
      <c r="D5" s="6"/>
      <c r="E5" s="22" t="s">
        <v>10</v>
      </c>
      <c r="F5" s="22"/>
      <c r="I5" s="22"/>
      <c r="J5" s="22"/>
      <c r="K5" s="22"/>
      <c r="L5" s="22"/>
      <c r="M5" s="22"/>
      <c r="N5" s="22"/>
      <c r="P5" s="22"/>
      <c r="Q5" s="22"/>
      <c r="R5" s="22"/>
      <c r="V5" s="22"/>
      <c r="W5" s="22" t="s">
        <v>27</v>
      </c>
      <c r="X5" s="21"/>
      <c r="Y5" s="21"/>
      <c r="Z5" s="21"/>
      <c r="AA5" s="19"/>
      <c r="AB5" s="19"/>
      <c r="AC5" s="22" t="s">
        <v>30</v>
      </c>
      <c r="AD5" s="19"/>
      <c r="AE5" s="22"/>
      <c r="AF5" s="19"/>
    </row>
    <row r="6" spans="1:32" ht="12.75" customHeight="1">
      <c r="A6" s="5"/>
      <c r="C6" s="5"/>
      <c r="D6" s="6"/>
      <c r="E6" s="22" t="s">
        <v>12</v>
      </c>
      <c r="F6" s="22"/>
      <c r="G6" s="22" t="s">
        <v>14</v>
      </c>
      <c r="H6" s="22"/>
      <c r="I6" s="22" t="s">
        <v>16</v>
      </c>
      <c r="J6" s="22"/>
      <c r="K6" s="22" t="s">
        <v>18</v>
      </c>
      <c r="L6" s="22"/>
      <c r="M6" s="22" t="s">
        <v>20</v>
      </c>
      <c r="N6" s="22"/>
      <c r="P6" s="22"/>
      <c r="Q6" s="22" t="s">
        <v>22</v>
      </c>
      <c r="R6" s="22"/>
      <c r="S6" s="22" t="s">
        <v>24</v>
      </c>
      <c r="U6" s="22" t="s">
        <v>26</v>
      </c>
      <c r="V6" s="22"/>
      <c r="W6" s="22" t="s">
        <v>29</v>
      </c>
      <c r="X6" s="21"/>
      <c r="Y6" s="21"/>
      <c r="Z6" s="21"/>
      <c r="AA6" s="19"/>
      <c r="AB6" s="19"/>
      <c r="AC6" s="22" t="s">
        <v>32</v>
      </c>
      <c r="AD6" s="19"/>
      <c r="AE6" s="22" t="s">
        <v>50</v>
      </c>
      <c r="AF6" s="19"/>
    </row>
    <row r="7" spans="1:31" ht="12.75" customHeight="1">
      <c r="A7" s="13" t="s">
        <v>9</v>
      </c>
      <c r="C7" s="13" t="s">
        <v>8</v>
      </c>
      <c r="D7" s="26"/>
      <c r="E7" s="23" t="s">
        <v>11</v>
      </c>
      <c r="F7" s="24"/>
      <c r="G7" s="23" t="s">
        <v>13</v>
      </c>
      <c r="H7" s="24"/>
      <c r="I7" s="23" t="s">
        <v>15</v>
      </c>
      <c r="J7" s="24"/>
      <c r="K7" s="23" t="s">
        <v>17</v>
      </c>
      <c r="L7" s="24"/>
      <c r="M7" s="23" t="s">
        <v>19</v>
      </c>
      <c r="N7" s="24"/>
      <c r="O7" s="25" t="s">
        <v>7</v>
      </c>
      <c r="P7" s="24"/>
      <c r="Q7" s="23" t="s">
        <v>21</v>
      </c>
      <c r="R7" s="24"/>
      <c r="S7" s="23" t="s">
        <v>23</v>
      </c>
      <c r="T7" s="24"/>
      <c r="U7" s="23" t="s">
        <v>25</v>
      </c>
      <c r="V7" s="24"/>
      <c r="W7" s="23" t="s">
        <v>28</v>
      </c>
      <c r="X7" s="24"/>
      <c r="Y7" s="23" t="s">
        <v>6</v>
      </c>
      <c r="Z7" s="24"/>
      <c r="AA7" s="23" t="s">
        <v>55</v>
      </c>
      <c r="AB7" s="24"/>
      <c r="AC7" s="23" t="s">
        <v>31</v>
      </c>
      <c r="AD7" s="24"/>
      <c r="AE7" s="23" t="s">
        <v>0</v>
      </c>
    </row>
    <row r="8" spans="1:31" ht="12.75" customHeight="1">
      <c r="A8" s="1" t="s">
        <v>472</v>
      </c>
      <c r="C8" s="1" t="s">
        <v>246</v>
      </c>
      <c r="E8" s="36">
        <v>163386</v>
      </c>
      <c r="F8" s="36"/>
      <c r="G8" s="36">
        <v>0</v>
      </c>
      <c r="H8" s="36"/>
      <c r="I8" s="36">
        <v>1822</v>
      </c>
      <c r="J8" s="36"/>
      <c r="K8" s="36">
        <v>0</v>
      </c>
      <c r="L8" s="36"/>
      <c r="M8" s="36">
        <v>114383</v>
      </c>
      <c r="N8" s="36"/>
      <c r="O8" s="36">
        <v>87183</v>
      </c>
      <c r="P8" s="36"/>
      <c r="Q8" s="36">
        <v>80774</v>
      </c>
      <c r="R8" s="36"/>
      <c r="S8" s="36">
        <v>15</v>
      </c>
      <c r="T8" s="36"/>
      <c r="U8" s="36">
        <v>0</v>
      </c>
      <c r="V8" s="36"/>
      <c r="W8" s="36">
        <v>0</v>
      </c>
      <c r="X8" s="36"/>
      <c r="Y8" s="36">
        <v>0</v>
      </c>
      <c r="Z8" s="36"/>
      <c r="AA8" s="36">
        <v>0</v>
      </c>
      <c r="AB8" s="36"/>
      <c r="AC8" s="36">
        <v>0</v>
      </c>
      <c r="AD8" s="36"/>
      <c r="AE8" s="36">
        <f aca="true" t="shared" si="0" ref="AE8:AE39">SUM(E8:AC8)</f>
        <v>447563</v>
      </c>
    </row>
    <row r="9" spans="1:33" ht="12.75" customHeight="1">
      <c r="A9" s="1" t="s">
        <v>64</v>
      </c>
      <c r="B9" s="1"/>
      <c r="C9" s="1" t="s">
        <v>65</v>
      </c>
      <c r="E9" s="16">
        <v>567739</v>
      </c>
      <c r="G9" s="16">
        <v>21483</v>
      </c>
      <c r="I9" s="16">
        <v>80549</v>
      </c>
      <c r="K9" s="16">
        <v>18161</v>
      </c>
      <c r="M9" s="16">
        <v>425</v>
      </c>
      <c r="O9" s="16">
        <v>266905</v>
      </c>
      <c r="Q9" s="16">
        <v>210739</v>
      </c>
      <c r="S9" s="16">
        <v>1137777</v>
      </c>
      <c r="U9" s="16">
        <v>988915</v>
      </c>
      <c r="W9" s="16">
        <v>32980</v>
      </c>
      <c r="Y9" s="16">
        <v>954907</v>
      </c>
      <c r="AA9" s="16">
        <v>0</v>
      </c>
      <c r="AC9" s="16">
        <v>0</v>
      </c>
      <c r="AE9" s="16">
        <f t="shared" si="0"/>
        <v>4280580</v>
      </c>
      <c r="AG9" s="16"/>
    </row>
    <row r="10" spans="1:31" ht="12.75" customHeight="1">
      <c r="A10" s="1" t="s">
        <v>66</v>
      </c>
      <c r="B10" s="1"/>
      <c r="C10" s="1" t="s">
        <v>67</v>
      </c>
      <c r="E10" s="16">
        <v>800</v>
      </c>
      <c r="G10" s="16">
        <v>0</v>
      </c>
      <c r="I10" s="16">
        <v>87</v>
      </c>
      <c r="K10" s="16">
        <v>223</v>
      </c>
      <c r="M10" s="16">
        <v>1067</v>
      </c>
      <c r="O10" s="16">
        <v>2324</v>
      </c>
      <c r="Q10" s="16">
        <v>11259</v>
      </c>
      <c r="S10" s="16">
        <v>0</v>
      </c>
      <c r="U10" s="16">
        <v>0</v>
      </c>
      <c r="W10" s="16">
        <v>0</v>
      </c>
      <c r="Y10" s="16">
        <v>0</v>
      </c>
      <c r="AA10" s="16">
        <v>0</v>
      </c>
      <c r="AC10" s="16">
        <v>0</v>
      </c>
      <c r="AE10" s="16">
        <f t="shared" si="0"/>
        <v>15760</v>
      </c>
    </row>
    <row r="11" spans="1:31" ht="12.75" customHeight="1">
      <c r="A11" s="1" t="s">
        <v>563</v>
      </c>
      <c r="C11" s="1" t="s">
        <v>73</v>
      </c>
      <c r="E11" s="16">
        <v>264662</v>
      </c>
      <c r="G11" s="16">
        <v>0</v>
      </c>
      <c r="I11" s="16">
        <v>19351</v>
      </c>
      <c r="K11" s="16">
        <v>0</v>
      </c>
      <c r="M11" s="16">
        <v>10422</v>
      </c>
      <c r="O11" s="16">
        <v>144259</v>
      </c>
      <c r="Q11" s="16">
        <v>317488</v>
      </c>
      <c r="S11" s="16">
        <v>79778</v>
      </c>
      <c r="U11" s="16">
        <v>20000</v>
      </c>
      <c r="W11" s="16">
        <v>5000</v>
      </c>
      <c r="Y11" s="16">
        <v>0</v>
      </c>
      <c r="AA11" s="16">
        <v>0</v>
      </c>
      <c r="AC11" s="16">
        <v>13058</v>
      </c>
      <c r="AE11" s="16">
        <f t="shared" si="0"/>
        <v>874018</v>
      </c>
    </row>
    <row r="12" spans="1:31" ht="12.75" customHeight="1">
      <c r="A12" s="1" t="s">
        <v>711</v>
      </c>
      <c r="C12" s="1" t="s">
        <v>712</v>
      </c>
      <c r="E12" s="16">
        <v>10900</v>
      </c>
      <c r="G12" s="16">
        <v>0</v>
      </c>
      <c r="I12" s="16">
        <v>0</v>
      </c>
      <c r="K12" s="16">
        <v>0</v>
      </c>
      <c r="M12" s="16">
        <v>0</v>
      </c>
      <c r="O12" s="16">
        <v>11876</v>
      </c>
      <c r="Q12" s="16">
        <v>53881</v>
      </c>
      <c r="S12" s="16">
        <v>6500</v>
      </c>
      <c r="U12" s="16">
        <v>2830</v>
      </c>
      <c r="W12" s="16">
        <v>1854</v>
      </c>
      <c r="Y12" s="16">
        <v>0</v>
      </c>
      <c r="AA12" s="16">
        <v>1801</v>
      </c>
      <c r="AC12" s="16">
        <v>0</v>
      </c>
      <c r="AE12" s="16">
        <f t="shared" si="0"/>
        <v>89642</v>
      </c>
    </row>
    <row r="13" spans="1:31" ht="12.75" customHeight="1">
      <c r="A13" s="1" t="s">
        <v>68</v>
      </c>
      <c r="B13" s="1"/>
      <c r="C13" s="1" t="s">
        <v>69</v>
      </c>
      <c r="E13" s="16">
        <v>50514</v>
      </c>
      <c r="G13" s="16">
        <v>740</v>
      </c>
      <c r="I13" s="16">
        <v>14798</v>
      </c>
      <c r="K13" s="16">
        <v>0</v>
      </c>
      <c r="M13" s="16">
        <v>0</v>
      </c>
      <c r="O13" s="16">
        <v>97834</v>
      </c>
      <c r="Q13" s="16">
        <v>78004</v>
      </c>
      <c r="S13" s="16">
        <v>14667</v>
      </c>
      <c r="U13" s="16">
        <v>62307</v>
      </c>
      <c r="W13" s="16">
        <v>32138</v>
      </c>
      <c r="Y13" s="16">
        <v>4000</v>
      </c>
      <c r="AA13" s="16">
        <v>0</v>
      </c>
      <c r="AC13" s="16">
        <v>20691</v>
      </c>
      <c r="AE13" s="16">
        <f t="shared" si="0"/>
        <v>375693</v>
      </c>
    </row>
    <row r="14" spans="1:31" ht="12.75" customHeight="1">
      <c r="A14" s="1" t="s">
        <v>70</v>
      </c>
      <c r="B14" s="1"/>
      <c r="C14" s="1" t="s">
        <v>71</v>
      </c>
      <c r="E14" s="16">
        <v>42311</v>
      </c>
      <c r="G14" s="16">
        <v>0</v>
      </c>
      <c r="I14" s="16">
        <v>0</v>
      </c>
      <c r="K14" s="16">
        <v>0</v>
      </c>
      <c r="M14" s="16">
        <v>80738</v>
      </c>
      <c r="O14" s="16">
        <v>128566</v>
      </c>
      <c r="Q14" s="16">
        <v>62355</v>
      </c>
      <c r="S14" s="16">
        <v>0</v>
      </c>
      <c r="U14" s="16">
        <v>0</v>
      </c>
      <c r="W14" s="16">
        <v>0</v>
      </c>
      <c r="Y14" s="16">
        <v>0</v>
      </c>
      <c r="AA14" s="16">
        <v>0</v>
      </c>
      <c r="AC14" s="16">
        <v>0</v>
      </c>
      <c r="AE14" s="16">
        <f t="shared" si="0"/>
        <v>313970</v>
      </c>
    </row>
    <row r="15" spans="1:31" ht="12.75" customHeight="1">
      <c r="A15" s="1" t="s">
        <v>612</v>
      </c>
      <c r="C15" s="1" t="s">
        <v>231</v>
      </c>
      <c r="E15" s="16">
        <v>59882</v>
      </c>
      <c r="G15" s="16">
        <v>0</v>
      </c>
      <c r="I15" s="16">
        <v>1016</v>
      </c>
      <c r="K15" s="16">
        <v>612</v>
      </c>
      <c r="M15" s="16">
        <v>0</v>
      </c>
      <c r="O15" s="16">
        <v>16527</v>
      </c>
      <c r="Q15" s="16">
        <v>63776</v>
      </c>
      <c r="S15" s="16">
        <v>102442</v>
      </c>
      <c r="U15" s="16">
        <v>0</v>
      </c>
      <c r="W15" s="16">
        <v>0</v>
      </c>
      <c r="Y15" s="16">
        <v>10000</v>
      </c>
      <c r="AA15" s="16">
        <v>0</v>
      </c>
      <c r="AC15" s="16">
        <v>1939</v>
      </c>
      <c r="AE15" s="16">
        <f t="shared" si="0"/>
        <v>256194</v>
      </c>
    </row>
    <row r="16" spans="1:31" ht="12.75" customHeight="1">
      <c r="A16" s="1" t="s">
        <v>764</v>
      </c>
      <c r="C16" s="1" t="s">
        <v>190</v>
      </c>
      <c r="E16" s="16">
        <v>0</v>
      </c>
      <c r="G16" s="16">
        <v>416</v>
      </c>
      <c r="I16" s="16">
        <v>0</v>
      </c>
      <c r="K16" s="16">
        <v>0</v>
      </c>
      <c r="M16" s="16">
        <v>5368</v>
      </c>
      <c r="O16" s="16">
        <v>4473</v>
      </c>
      <c r="Q16" s="16">
        <v>26729</v>
      </c>
      <c r="S16" s="16">
        <v>1435</v>
      </c>
      <c r="U16" s="16">
        <v>0</v>
      </c>
      <c r="W16" s="16">
        <v>0</v>
      </c>
      <c r="Y16" s="16">
        <v>0</v>
      </c>
      <c r="AA16" s="16">
        <v>0</v>
      </c>
      <c r="AC16" s="16">
        <v>0</v>
      </c>
      <c r="AE16" s="16">
        <f t="shared" si="0"/>
        <v>38421</v>
      </c>
    </row>
    <row r="17" spans="1:31" ht="12.75" customHeight="1">
      <c r="A17" s="1" t="s">
        <v>530</v>
      </c>
      <c r="C17" s="1" t="s">
        <v>98</v>
      </c>
      <c r="E17" s="16">
        <v>8975</v>
      </c>
      <c r="G17" s="16">
        <v>0</v>
      </c>
      <c r="I17" s="16">
        <v>3565</v>
      </c>
      <c r="K17" s="16">
        <v>50</v>
      </c>
      <c r="M17" s="16">
        <v>57138</v>
      </c>
      <c r="O17" s="16">
        <v>79220</v>
      </c>
      <c r="Q17" s="16">
        <v>44757</v>
      </c>
      <c r="S17" s="16">
        <v>0</v>
      </c>
      <c r="U17" s="16">
        <v>11500</v>
      </c>
      <c r="W17" s="16">
        <v>46314</v>
      </c>
      <c r="Y17" s="16">
        <v>0</v>
      </c>
      <c r="AA17" s="16">
        <v>0</v>
      </c>
      <c r="AC17" s="16">
        <v>161974</v>
      </c>
      <c r="AE17" s="16">
        <f t="shared" si="0"/>
        <v>413493</v>
      </c>
    </row>
    <row r="18" spans="1:31" ht="12.75" customHeight="1">
      <c r="A18" s="1" t="s">
        <v>72</v>
      </c>
      <c r="B18" s="1"/>
      <c r="C18" s="1" t="s">
        <v>73</v>
      </c>
      <c r="E18" s="16">
        <v>2002260</v>
      </c>
      <c r="G18" s="16">
        <v>78693</v>
      </c>
      <c r="I18" s="16">
        <v>18991</v>
      </c>
      <c r="K18" s="16">
        <v>59522</v>
      </c>
      <c r="M18" s="16">
        <v>144124</v>
      </c>
      <c r="O18" s="16">
        <v>656595</v>
      </c>
      <c r="Q18" s="16">
        <v>746392</v>
      </c>
      <c r="S18" s="16">
        <v>497891</v>
      </c>
      <c r="U18" s="16">
        <v>0</v>
      </c>
      <c r="W18" s="16">
        <v>0</v>
      </c>
      <c r="Y18" s="16">
        <v>0</v>
      </c>
      <c r="AA18" s="16">
        <v>0</v>
      </c>
      <c r="AC18" s="16">
        <v>0</v>
      </c>
      <c r="AE18" s="16">
        <f t="shared" si="0"/>
        <v>4204468</v>
      </c>
    </row>
    <row r="19" spans="1:31" ht="12.75" customHeight="1">
      <c r="A19" s="1" t="s">
        <v>492</v>
      </c>
      <c r="C19" s="1" t="s">
        <v>102</v>
      </c>
      <c r="E19" s="16">
        <v>687253</v>
      </c>
      <c r="G19" s="16">
        <v>9242</v>
      </c>
      <c r="I19" s="16">
        <v>42786</v>
      </c>
      <c r="K19" s="16">
        <v>2000</v>
      </c>
      <c r="M19" s="16">
        <v>162333</v>
      </c>
      <c r="O19" s="16">
        <v>161954</v>
      </c>
      <c r="Q19" s="16">
        <v>228748</v>
      </c>
      <c r="S19" s="16">
        <v>90650</v>
      </c>
      <c r="U19" s="16">
        <v>20000</v>
      </c>
      <c r="W19" s="16">
        <v>97997</v>
      </c>
      <c r="Y19" s="16">
        <v>24997</v>
      </c>
      <c r="AA19" s="16">
        <v>20880</v>
      </c>
      <c r="AC19" s="16">
        <v>0</v>
      </c>
      <c r="AE19" s="16">
        <f t="shared" si="0"/>
        <v>1548840</v>
      </c>
    </row>
    <row r="20" spans="1:31" ht="12.75" customHeight="1">
      <c r="A20" s="1" t="s">
        <v>458</v>
      </c>
      <c r="C20" s="1" t="s">
        <v>71</v>
      </c>
      <c r="E20" s="16">
        <v>12096</v>
      </c>
      <c r="G20" s="16">
        <v>309</v>
      </c>
      <c r="I20" s="16">
        <v>36029</v>
      </c>
      <c r="K20" s="16">
        <v>4526</v>
      </c>
      <c r="M20" s="16">
        <v>0</v>
      </c>
      <c r="O20" s="16">
        <v>2639</v>
      </c>
      <c r="Q20" s="16">
        <v>18440</v>
      </c>
      <c r="S20" s="16">
        <v>0</v>
      </c>
      <c r="U20" s="16">
        <v>0</v>
      </c>
      <c r="W20" s="16">
        <v>0</v>
      </c>
      <c r="Y20" s="16">
        <v>1131</v>
      </c>
      <c r="AA20" s="16">
        <v>0</v>
      </c>
      <c r="AC20" s="16">
        <v>0</v>
      </c>
      <c r="AE20" s="16">
        <f t="shared" si="0"/>
        <v>75170</v>
      </c>
    </row>
    <row r="21" spans="1:31" ht="12.75" customHeight="1">
      <c r="A21" s="1" t="s">
        <v>74</v>
      </c>
      <c r="B21" s="1"/>
      <c r="C21" s="1" t="s">
        <v>69</v>
      </c>
      <c r="E21" s="16">
        <v>33488</v>
      </c>
      <c r="G21" s="16">
        <v>481</v>
      </c>
      <c r="I21" s="16">
        <v>3363</v>
      </c>
      <c r="K21" s="16">
        <v>0</v>
      </c>
      <c r="M21" s="16">
        <v>0</v>
      </c>
      <c r="O21" s="16">
        <v>19092</v>
      </c>
      <c r="Q21" s="16">
        <v>40382</v>
      </c>
      <c r="S21" s="16">
        <v>2828</v>
      </c>
      <c r="U21" s="16">
        <v>0</v>
      </c>
      <c r="W21" s="16">
        <v>0</v>
      </c>
      <c r="Y21" s="16">
        <v>500</v>
      </c>
      <c r="AA21" s="16">
        <v>0</v>
      </c>
      <c r="AC21" s="16">
        <v>125</v>
      </c>
      <c r="AE21" s="16">
        <f t="shared" si="0"/>
        <v>100259</v>
      </c>
    </row>
    <row r="22" spans="1:31" ht="12.75" customHeight="1">
      <c r="A22" s="1" t="s">
        <v>75</v>
      </c>
      <c r="B22" s="1"/>
      <c r="C22" s="30" t="s">
        <v>76</v>
      </c>
      <c r="E22" s="16">
        <v>361053</v>
      </c>
      <c r="G22" s="16">
        <v>12953</v>
      </c>
      <c r="I22" s="16">
        <v>21227</v>
      </c>
      <c r="K22" s="16">
        <v>12404</v>
      </c>
      <c r="M22" s="16">
        <v>1323</v>
      </c>
      <c r="O22" s="16">
        <v>47742</v>
      </c>
      <c r="Q22" s="16">
        <v>173161</v>
      </c>
      <c r="S22" s="16">
        <v>289992</v>
      </c>
      <c r="U22" s="16">
        <v>152284</v>
      </c>
      <c r="W22" s="16">
        <v>60330</v>
      </c>
      <c r="Y22" s="16">
        <v>0</v>
      </c>
      <c r="AA22" s="16">
        <v>0</v>
      </c>
      <c r="AC22" s="16">
        <v>0</v>
      </c>
      <c r="AE22" s="16">
        <f t="shared" si="0"/>
        <v>1132469</v>
      </c>
    </row>
    <row r="23" spans="1:31" ht="12.75" customHeight="1">
      <c r="A23" s="1" t="s">
        <v>726</v>
      </c>
      <c r="C23" s="1" t="s">
        <v>131</v>
      </c>
      <c r="E23" s="16">
        <v>330796</v>
      </c>
      <c r="G23" s="16">
        <v>3036</v>
      </c>
      <c r="I23" s="16">
        <v>13012</v>
      </c>
      <c r="K23" s="16">
        <v>263</v>
      </c>
      <c r="M23" s="16">
        <v>0</v>
      </c>
      <c r="O23" s="16">
        <v>118249</v>
      </c>
      <c r="Q23" s="16">
        <v>91474</v>
      </c>
      <c r="S23" s="16">
        <v>417529</v>
      </c>
      <c r="U23" s="16">
        <v>50543</v>
      </c>
      <c r="W23" s="16">
        <v>41467</v>
      </c>
      <c r="Y23" s="16">
        <v>10351</v>
      </c>
      <c r="AA23" s="16">
        <v>105045</v>
      </c>
      <c r="AC23" s="16">
        <v>0</v>
      </c>
      <c r="AE23" s="16">
        <f t="shared" si="0"/>
        <v>1181765</v>
      </c>
    </row>
    <row r="24" spans="1:31" ht="12.75" customHeight="1">
      <c r="A24" s="1" t="s">
        <v>77</v>
      </c>
      <c r="B24" s="1"/>
      <c r="C24" s="1" t="s">
        <v>78</v>
      </c>
      <c r="E24" s="16">
        <v>150563</v>
      </c>
      <c r="G24" s="16">
        <v>11951</v>
      </c>
      <c r="I24" s="16">
        <v>4819</v>
      </c>
      <c r="K24" s="16">
        <v>385</v>
      </c>
      <c r="M24" s="16">
        <v>0</v>
      </c>
      <c r="O24" s="16">
        <v>44937</v>
      </c>
      <c r="Q24" s="16">
        <v>170197</v>
      </c>
      <c r="S24" s="16">
        <v>117866</v>
      </c>
      <c r="U24" s="16">
        <v>18307</v>
      </c>
      <c r="W24" s="16">
        <v>7052</v>
      </c>
      <c r="Y24" s="16">
        <v>16537</v>
      </c>
      <c r="AA24" s="16">
        <v>0</v>
      </c>
      <c r="AC24" s="16">
        <v>3193</v>
      </c>
      <c r="AE24" s="16">
        <f t="shared" si="0"/>
        <v>545807</v>
      </c>
    </row>
    <row r="25" spans="1:31" ht="12.75" customHeight="1">
      <c r="A25" s="1" t="s">
        <v>79</v>
      </c>
      <c r="B25" s="1"/>
      <c r="C25" s="1" t="s">
        <v>80</v>
      </c>
      <c r="E25" s="16">
        <v>2112</v>
      </c>
      <c r="G25" s="16">
        <v>2733</v>
      </c>
      <c r="I25" s="16">
        <v>22</v>
      </c>
      <c r="K25" s="16">
        <v>0</v>
      </c>
      <c r="M25" s="16">
        <v>0</v>
      </c>
      <c r="O25" s="16">
        <v>0</v>
      </c>
      <c r="Q25" s="16">
        <v>4220</v>
      </c>
      <c r="S25" s="16">
        <v>0</v>
      </c>
      <c r="U25" s="16">
        <v>0</v>
      </c>
      <c r="W25" s="16">
        <v>0</v>
      </c>
      <c r="Y25" s="16">
        <v>0</v>
      </c>
      <c r="AA25" s="16">
        <v>0</v>
      </c>
      <c r="AC25" s="16">
        <v>0</v>
      </c>
      <c r="AE25" s="16">
        <f t="shared" si="0"/>
        <v>9087</v>
      </c>
    </row>
    <row r="26" spans="1:31" ht="12.75" customHeight="1">
      <c r="A26" s="1" t="s">
        <v>81</v>
      </c>
      <c r="B26" s="1"/>
      <c r="C26" s="1" t="s">
        <v>82</v>
      </c>
      <c r="E26" s="16">
        <v>226630</v>
      </c>
      <c r="G26" s="16">
        <v>58476</v>
      </c>
      <c r="I26" s="16">
        <v>11621</v>
      </c>
      <c r="K26" s="16">
        <v>430</v>
      </c>
      <c r="M26" s="16">
        <v>0</v>
      </c>
      <c r="O26" s="16">
        <v>54678</v>
      </c>
      <c r="Q26" s="16">
        <v>120433</v>
      </c>
      <c r="S26" s="16">
        <v>56621</v>
      </c>
      <c r="U26" s="16">
        <v>13892</v>
      </c>
      <c r="W26" s="16">
        <v>0</v>
      </c>
      <c r="Y26" s="16">
        <v>37105</v>
      </c>
      <c r="AA26" s="16">
        <v>0</v>
      </c>
      <c r="AC26" s="16">
        <v>0</v>
      </c>
      <c r="AE26" s="16">
        <f t="shared" si="0"/>
        <v>579886</v>
      </c>
    </row>
    <row r="27" spans="1:31" ht="12.75" customHeight="1">
      <c r="A27" s="1" t="s">
        <v>83</v>
      </c>
      <c r="B27" s="1"/>
      <c r="C27" s="1" t="s">
        <v>84</v>
      </c>
      <c r="E27" s="16">
        <v>67326</v>
      </c>
      <c r="G27" s="16">
        <v>2115</v>
      </c>
      <c r="I27" s="16">
        <v>10019</v>
      </c>
      <c r="K27" s="16">
        <v>0</v>
      </c>
      <c r="M27" s="16">
        <v>0</v>
      </c>
      <c r="O27" s="16">
        <v>98738</v>
      </c>
      <c r="Q27" s="16">
        <v>110895</v>
      </c>
      <c r="S27" s="16">
        <v>142078</v>
      </c>
      <c r="U27" s="16">
        <v>0</v>
      </c>
      <c r="W27" s="16">
        <v>0</v>
      </c>
      <c r="Y27" s="16">
        <v>122500</v>
      </c>
      <c r="AA27" s="16">
        <v>0</v>
      </c>
      <c r="AC27" s="16">
        <v>0</v>
      </c>
      <c r="AE27" s="16">
        <f t="shared" si="0"/>
        <v>553671</v>
      </c>
    </row>
    <row r="28" spans="1:31" ht="12.75" customHeight="1">
      <c r="A28" s="1" t="s">
        <v>571</v>
      </c>
      <c r="C28" s="1" t="s">
        <v>114</v>
      </c>
      <c r="E28" s="16">
        <v>0</v>
      </c>
      <c r="G28" s="16">
        <v>2673</v>
      </c>
      <c r="I28" s="16">
        <v>1426</v>
      </c>
      <c r="K28" s="16">
        <v>5505</v>
      </c>
      <c r="M28" s="16">
        <v>0</v>
      </c>
      <c r="O28" s="16">
        <v>19557</v>
      </c>
      <c r="Q28" s="16">
        <v>98622</v>
      </c>
      <c r="S28" s="16">
        <v>94162</v>
      </c>
      <c r="U28" s="16">
        <v>0</v>
      </c>
      <c r="W28" s="16">
        <v>0</v>
      </c>
      <c r="Y28" s="16">
        <v>54000</v>
      </c>
      <c r="AA28" s="16">
        <v>0</v>
      </c>
      <c r="AC28" s="16">
        <v>0</v>
      </c>
      <c r="AE28" s="16">
        <f t="shared" si="0"/>
        <v>275945</v>
      </c>
    </row>
    <row r="29" spans="1:31" ht="12.75" customHeight="1">
      <c r="A29" s="1" t="s">
        <v>85</v>
      </c>
      <c r="B29" s="1"/>
      <c r="C29" s="1" t="s">
        <v>78</v>
      </c>
      <c r="E29" s="16">
        <v>341804</v>
      </c>
      <c r="G29" s="16">
        <v>10316</v>
      </c>
      <c r="I29" s="16">
        <v>65220</v>
      </c>
      <c r="K29" s="16">
        <v>84912</v>
      </c>
      <c r="M29" s="16">
        <v>0</v>
      </c>
      <c r="O29" s="16">
        <v>86216</v>
      </c>
      <c r="Q29" s="16">
        <v>128073</v>
      </c>
      <c r="S29" s="16">
        <v>1947492</v>
      </c>
      <c r="U29" s="16">
        <v>41020</v>
      </c>
      <c r="W29" s="16">
        <v>5574</v>
      </c>
      <c r="Y29" s="16">
        <v>92000</v>
      </c>
      <c r="AA29" s="16">
        <v>0</v>
      </c>
      <c r="AC29" s="16">
        <v>0</v>
      </c>
      <c r="AE29" s="16">
        <f t="shared" si="0"/>
        <v>2802627</v>
      </c>
    </row>
    <row r="30" spans="1:31" ht="12.75" customHeight="1">
      <c r="A30" s="1" t="s">
        <v>86</v>
      </c>
      <c r="B30" s="1"/>
      <c r="C30" s="1" t="s">
        <v>87</v>
      </c>
      <c r="E30" s="16">
        <v>1237495</v>
      </c>
      <c r="G30" s="16">
        <v>152039</v>
      </c>
      <c r="I30" s="16">
        <v>2233018</v>
      </c>
      <c r="K30" s="16">
        <v>16862</v>
      </c>
      <c r="M30" s="16">
        <v>254154</v>
      </c>
      <c r="O30" s="16">
        <v>581941</v>
      </c>
      <c r="Q30" s="16">
        <v>716862</v>
      </c>
      <c r="S30" s="16">
        <v>4558473</v>
      </c>
      <c r="U30" s="16">
        <v>415000</v>
      </c>
      <c r="W30" s="16">
        <v>153573</v>
      </c>
      <c r="Y30" s="16">
        <v>3925000</v>
      </c>
      <c r="AA30" s="16">
        <v>1060</v>
      </c>
      <c r="AC30" s="16">
        <v>197462</v>
      </c>
      <c r="AE30" s="16">
        <f t="shared" si="0"/>
        <v>14442939</v>
      </c>
    </row>
    <row r="31" spans="1:31" ht="12.75" customHeight="1">
      <c r="A31" s="1" t="s">
        <v>572</v>
      </c>
      <c r="C31" s="1" t="s">
        <v>114</v>
      </c>
      <c r="E31" s="16">
        <v>94281</v>
      </c>
      <c r="G31" s="16">
        <v>7622</v>
      </c>
      <c r="I31" s="16">
        <v>0</v>
      </c>
      <c r="K31" s="16">
        <v>0</v>
      </c>
      <c r="M31" s="16">
        <v>0</v>
      </c>
      <c r="O31" s="16">
        <v>64611</v>
      </c>
      <c r="Q31" s="16">
        <v>97999</v>
      </c>
      <c r="S31" s="16">
        <v>205169</v>
      </c>
      <c r="U31" s="16">
        <v>42572</v>
      </c>
      <c r="W31" s="16">
        <v>22730</v>
      </c>
      <c r="Y31" s="16">
        <v>108200</v>
      </c>
      <c r="AA31" s="16">
        <v>9400</v>
      </c>
      <c r="AC31" s="16">
        <v>3254</v>
      </c>
      <c r="AE31" s="16">
        <f t="shared" si="0"/>
        <v>655838</v>
      </c>
    </row>
    <row r="32" spans="1:31" ht="12.75" customHeight="1">
      <c r="A32" s="1" t="s">
        <v>88</v>
      </c>
      <c r="B32" s="1"/>
      <c r="C32" s="1" t="s">
        <v>73</v>
      </c>
      <c r="E32" s="16">
        <v>320515</v>
      </c>
      <c r="G32" s="16">
        <v>0</v>
      </c>
      <c r="I32" s="16">
        <v>1317</v>
      </c>
      <c r="K32" s="16">
        <v>0</v>
      </c>
      <c r="M32" s="16">
        <v>60200</v>
      </c>
      <c r="O32" s="16">
        <v>38873</v>
      </c>
      <c r="Q32" s="16">
        <v>406500</v>
      </c>
      <c r="S32" s="16">
        <v>62049</v>
      </c>
      <c r="U32" s="16">
        <v>20662</v>
      </c>
      <c r="W32" s="16">
        <v>0</v>
      </c>
      <c r="Y32" s="16">
        <v>2700</v>
      </c>
      <c r="AA32" s="16">
        <v>0</v>
      </c>
      <c r="AC32" s="16">
        <v>0</v>
      </c>
      <c r="AE32" s="16">
        <f t="shared" si="0"/>
        <v>912816</v>
      </c>
    </row>
    <row r="33" spans="1:31" ht="12.75" customHeight="1">
      <c r="A33" s="1" t="s">
        <v>89</v>
      </c>
      <c r="B33" s="1"/>
      <c r="C33" s="1" t="s">
        <v>90</v>
      </c>
      <c r="E33" s="16">
        <v>215240</v>
      </c>
      <c r="G33" s="16">
        <v>0</v>
      </c>
      <c r="I33" s="16">
        <v>0</v>
      </c>
      <c r="K33" s="16">
        <v>0</v>
      </c>
      <c r="M33" s="16">
        <v>0</v>
      </c>
      <c r="O33" s="16">
        <v>0</v>
      </c>
      <c r="Q33" s="16">
        <v>190904</v>
      </c>
      <c r="S33" s="16">
        <v>38567</v>
      </c>
      <c r="U33" s="16">
        <v>0</v>
      </c>
      <c r="W33" s="16">
        <v>0</v>
      </c>
      <c r="Y33" s="16">
        <v>0</v>
      </c>
      <c r="AA33" s="16">
        <v>0</v>
      </c>
      <c r="AC33" s="16">
        <v>0</v>
      </c>
      <c r="AE33" s="16">
        <f t="shared" si="0"/>
        <v>444711</v>
      </c>
    </row>
    <row r="34" spans="1:31" ht="12.75" customHeight="1">
      <c r="A34" s="1" t="s">
        <v>685</v>
      </c>
      <c r="C34" s="1" t="s">
        <v>184</v>
      </c>
      <c r="E34" s="16">
        <v>393986</v>
      </c>
      <c r="G34" s="16">
        <v>11239</v>
      </c>
      <c r="I34" s="16">
        <v>29555</v>
      </c>
      <c r="K34" s="16">
        <v>5903</v>
      </c>
      <c r="M34" s="16">
        <v>135689</v>
      </c>
      <c r="O34" s="16">
        <v>243566</v>
      </c>
      <c r="Q34" s="16">
        <v>211099</v>
      </c>
      <c r="S34" s="16">
        <v>0</v>
      </c>
      <c r="U34" s="16">
        <v>13619</v>
      </c>
      <c r="W34" s="16">
        <v>1931</v>
      </c>
      <c r="Y34" s="16">
        <v>2851</v>
      </c>
      <c r="AA34" s="16">
        <v>0</v>
      </c>
      <c r="AC34" s="16">
        <v>0</v>
      </c>
      <c r="AE34" s="16">
        <f t="shared" si="0"/>
        <v>1049438</v>
      </c>
    </row>
    <row r="35" spans="1:31" ht="12.75" customHeight="1">
      <c r="A35" s="1" t="s">
        <v>722</v>
      </c>
      <c r="C35" s="1" t="s">
        <v>118</v>
      </c>
      <c r="E35" s="16">
        <v>130263</v>
      </c>
      <c r="G35" s="16">
        <v>3841</v>
      </c>
      <c r="I35" s="16">
        <v>20834</v>
      </c>
      <c r="K35" s="16">
        <v>0</v>
      </c>
      <c r="M35" s="16">
        <v>0</v>
      </c>
      <c r="O35" s="16">
        <v>49292</v>
      </c>
      <c r="Q35" s="16">
        <v>88593</v>
      </c>
      <c r="S35" s="16">
        <v>30253</v>
      </c>
      <c r="U35" s="16">
        <v>10577</v>
      </c>
      <c r="W35" s="16">
        <v>0</v>
      </c>
      <c r="Y35" s="16">
        <v>72215</v>
      </c>
      <c r="AA35" s="16">
        <v>0</v>
      </c>
      <c r="AC35" s="16">
        <v>0</v>
      </c>
      <c r="AE35" s="16">
        <f t="shared" si="0"/>
        <v>405868</v>
      </c>
    </row>
    <row r="36" spans="1:31" ht="12.75" customHeight="1">
      <c r="A36" s="1" t="s">
        <v>91</v>
      </c>
      <c r="B36" s="1"/>
      <c r="C36" s="30" t="s">
        <v>92</v>
      </c>
      <c r="E36" s="16">
        <v>9548</v>
      </c>
      <c r="G36" s="16">
        <v>362</v>
      </c>
      <c r="I36" s="16">
        <v>12293</v>
      </c>
      <c r="K36" s="16">
        <v>2600</v>
      </c>
      <c r="M36" s="16">
        <v>0</v>
      </c>
      <c r="O36" s="16">
        <v>36957</v>
      </c>
      <c r="Q36" s="16">
        <v>36445</v>
      </c>
      <c r="S36" s="16">
        <v>248</v>
      </c>
      <c r="U36" s="16">
        <v>0</v>
      </c>
      <c r="W36" s="16">
        <v>0</v>
      </c>
      <c r="Y36" s="16">
        <v>0</v>
      </c>
      <c r="AA36" s="16">
        <v>0</v>
      </c>
      <c r="AC36" s="16">
        <v>0</v>
      </c>
      <c r="AE36" s="16">
        <f t="shared" si="0"/>
        <v>98453</v>
      </c>
    </row>
    <row r="37" spans="1:31" ht="12.75" customHeight="1">
      <c r="A37" s="1" t="s">
        <v>713</v>
      </c>
      <c r="C37" s="1" t="s">
        <v>712</v>
      </c>
      <c r="E37" s="16">
        <v>65598</v>
      </c>
      <c r="G37" s="16">
        <v>0</v>
      </c>
      <c r="I37" s="16">
        <v>2807</v>
      </c>
      <c r="K37" s="16">
        <v>0</v>
      </c>
      <c r="M37" s="16">
        <v>0</v>
      </c>
      <c r="O37" s="16">
        <v>2502</v>
      </c>
      <c r="Q37" s="16">
        <v>52159</v>
      </c>
      <c r="S37" s="16">
        <v>6898</v>
      </c>
      <c r="U37" s="16">
        <v>0</v>
      </c>
      <c r="W37" s="16">
        <v>0</v>
      </c>
      <c r="Y37" s="16">
        <v>0</v>
      </c>
      <c r="AA37" s="16">
        <v>0</v>
      </c>
      <c r="AC37" s="16">
        <v>0</v>
      </c>
      <c r="AE37" s="16">
        <f t="shared" si="0"/>
        <v>129964</v>
      </c>
    </row>
    <row r="38" spans="1:31" ht="12.75" customHeight="1">
      <c r="A38" s="1" t="s">
        <v>93</v>
      </c>
      <c r="B38" s="1"/>
      <c r="C38" s="1" t="s">
        <v>94</v>
      </c>
      <c r="E38" s="16">
        <v>5851</v>
      </c>
      <c r="G38" s="16">
        <v>49</v>
      </c>
      <c r="I38" s="16">
        <v>0</v>
      </c>
      <c r="K38" s="16">
        <v>12336</v>
      </c>
      <c r="M38" s="16">
        <v>0</v>
      </c>
      <c r="O38" s="16">
        <v>0</v>
      </c>
      <c r="Q38" s="16">
        <v>11760</v>
      </c>
      <c r="S38" s="16">
        <v>0</v>
      </c>
      <c r="U38" s="16">
        <v>1855</v>
      </c>
      <c r="W38" s="16">
        <v>800</v>
      </c>
      <c r="Y38" s="16">
        <v>0</v>
      </c>
      <c r="AA38" s="16">
        <v>0</v>
      </c>
      <c r="AC38" s="16">
        <v>0</v>
      </c>
      <c r="AE38" s="16">
        <f t="shared" si="0"/>
        <v>32651</v>
      </c>
    </row>
    <row r="39" spans="1:31" ht="12.75" customHeight="1">
      <c r="A39" s="1" t="s">
        <v>95</v>
      </c>
      <c r="B39" s="1"/>
      <c r="C39" s="1" t="s">
        <v>96</v>
      </c>
      <c r="E39" s="16">
        <v>146157</v>
      </c>
      <c r="G39" s="16">
        <v>4535</v>
      </c>
      <c r="I39" s="16">
        <v>13370</v>
      </c>
      <c r="K39" s="16">
        <v>536</v>
      </c>
      <c r="M39" s="16">
        <v>0</v>
      </c>
      <c r="O39" s="16">
        <v>125926</v>
      </c>
      <c r="Q39" s="16">
        <v>114461</v>
      </c>
      <c r="S39" s="16">
        <v>57975</v>
      </c>
      <c r="U39" s="16">
        <v>20680</v>
      </c>
      <c r="W39" s="16">
        <v>923</v>
      </c>
      <c r="Y39" s="16">
        <v>0</v>
      </c>
      <c r="AA39" s="16">
        <v>0</v>
      </c>
      <c r="AC39" s="16">
        <v>0</v>
      </c>
      <c r="AE39" s="16">
        <f t="shared" si="0"/>
        <v>484563</v>
      </c>
    </row>
    <row r="40" spans="1:31" ht="12.75" customHeight="1">
      <c r="A40" s="1" t="s">
        <v>97</v>
      </c>
      <c r="B40" s="1"/>
      <c r="C40" s="1" t="s">
        <v>98</v>
      </c>
      <c r="E40" s="16">
        <v>167689</v>
      </c>
      <c r="G40" s="16">
        <v>18005</v>
      </c>
      <c r="I40" s="16">
        <v>33077</v>
      </c>
      <c r="K40" s="16">
        <v>35502</v>
      </c>
      <c r="M40" s="16">
        <v>0</v>
      </c>
      <c r="O40" s="16">
        <v>229953</v>
      </c>
      <c r="Q40" s="16">
        <v>188571</v>
      </c>
      <c r="S40" s="16">
        <v>122034</v>
      </c>
      <c r="U40" s="16">
        <v>3475</v>
      </c>
      <c r="W40" s="16">
        <v>0</v>
      </c>
      <c r="Y40" s="16">
        <v>548000</v>
      </c>
      <c r="AA40" s="16">
        <v>0</v>
      </c>
      <c r="AC40" s="16">
        <v>625</v>
      </c>
      <c r="AE40" s="16">
        <f aca="true" t="shared" si="1" ref="AE40:AE69">SUM(E40:AC40)</f>
        <v>1346931</v>
      </c>
    </row>
    <row r="41" spans="1:31" ht="12.75" customHeight="1">
      <c r="A41" s="1" t="s">
        <v>99</v>
      </c>
      <c r="B41" s="1"/>
      <c r="C41" s="1" t="s">
        <v>100</v>
      </c>
      <c r="E41" s="16">
        <v>517971</v>
      </c>
      <c r="G41" s="16">
        <v>139461</v>
      </c>
      <c r="I41" s="16">
        <v>140951</v>
      </c>
      <c r="K41" s="16">
        <v>1183</v>
      </c>
      <c r="M41" s="16">
        <v>0</v>
      </c>
      <c r="O41" s="16">
        <v>239117</v>
      </c>
      <c r="Q41" s="16">
        <v>161957</v>
      </c>
      <c r="S41" s="16">
        <v>254473</v>
      </c>
      <c r="U41" s="16">
        <v>368057</v>
      </c>
      <c r="W41" s="16">
        <v>127913</v>
      </c>
      <c r="Y41" s="16">
        <v>567741</v>
      </c>
      <c r="AA41" s="16">
        <v>0</v>
      </c>
      <c r="AC41" s="16">
        <v>0</v>
      </c>
      <c r="AE41" s="16">
        <f t="shared" si="1"/>
        <v>2518824</v>
      </c>
    </row>
    <row r="42" spans="1:31" ht="12.75" customHeight="1">
      <c r="A42" s="1" t="s">
        <v>101</v>
      </c>
      <c r="B42" s="1"/>
      <c r="C42" s="1" t="s">
        <v>102</v>
      </c>
      <c r="E42" s="16">
        <v>261490</v>
      </c>
      <c r="G42" s="16">
        <v>16644</v>
      </c>
      <c r="I42" s="16">
        <v>0</v>
      </c>
      <c r="K42" s="16">
        <v>950</v>
      </c>
      <c r="M42" s="16">
        <v>0</v>
      </c>
      <c r="O42" s="16">
        <v>409161</v>
      </c>
      <c r="Q42" s="16">
        <v>172269</v>
      </c>
      <c r="S42" s="16">
        <v>0</v>
      </c>
      <c r="U42" s="16">
        <v>301088</v>
      </c>
      <c r="W42" s="16">
        <v>0</v>
      </c>
      <c r="Y42" s="16">
        <v>0</v>
      </c>
      <c r="AA42" s="16">
        <v>0</v>
      </c>
      <c r="AC42" s="16">
        <v>1380</v>
      </c>
      <c r="AE42" s="16">
        <f t="shared" si="1"/>
        <v>1162982</v>
      </c>
    </row>
    <row r="43" spans="1:31" ht="12.75" customHeight="1">
      <c r="A43" s="1" t="s">
        <v>103</v>
      </c>
      <c r="B43" s="1"/>
      <c r="C43" s="1" t="s">
        <v>104</v>
      </c>
      <c r="E43" s="16">
        <v>2452</v>
      </c>
      <c r="G43" s="16">
        <v>0</v>
      </c>
      <c r="I43" s="16">
        <v>526</v>
      </c>
      <c r="K43" s="16">
        <v>0</v>
      </c>
      <c r="M43" s="16">
        <v>0</v>
      </c>
      <c r="O43" s="16">
        <v>3449</v>
      </c>
      <c r="Q43" s="16">
        <v>10327</v>
      </c>
      <c r="S43" s="16">
        <v>0</v>
      </c>
      <c r="U43" s="16">
        <v>0</v>
      </c>
      <c r="W43" s="16">
        <v>0</v>
      </c>
      <c r="Y43" s="16">
        <v>0</v>
      </c>
      <c r="AA43" s="16">
        <v>0</v>
      </c>
      <c r="AC43" s="16">
        <v>0</v>
      </c>
      <c r="AE43" s="16">
        <f t="shared" si="1"/>
        <v>16754</v>
      </c>
    </row>
    <row r="44" spans="1:31" ht="12.75" customHeight="1">
      <c r="A44" s="1" t="s">
        <v>527</v>
      </c>
      <c r="C44" s="1" t="s">
        <v>261</v>
      </c>
      <c r="E44" s="16">
        <v>102245</v>
      </c>
      <c r="G44" s="16">
        <v>0</v>
      </c>
      <c r="I44" s="16">
        <v>10609</v>
      </c>
      <c r="K44" s="16">
        <v>0</v>
      </c>
      <c r="M44" s="16">
        <v>579</v>
      </c>
      <c r="O44" s="16">
        <v>48809</v>
      </c>
      <c r="Q44" s="16">
        <v>107525</v>
      </c>
      <c r="S44" s="16">
        <v>124876</v>
      </c>
      <c r="U44" s="16">
        <v>0</v>
      </c>
      <c r="W44" s="16">
        <v>0</v>
      </c>
      <c r="Y44" s="16">
        <v>31139</v>
      </c>
      <c r="AA44" s="16">
        <v>0</v>
      </c>
      <c r="AC44" s="16">
        <v>0</v>
      </c>
      <c r="AE44" s="16">
        <f t="shared" si="1"/>
        <v>425782</v>
      </c>
    </row>
    <row r="45" spans="1:31" ht="12.75" customHeight="1">
      <c r="A45" s="1" t="s">
        <v>105</v>
      </c>
      <c r="B45" s="1"/>
      <c r="C45" s="1" t="s">
        <v>106</v>
      </c>
      <c r="E45" s="16">
        <v>157202</v>
      </c>
      <c r="G45" s="16">
        <v>0</v>
      </c>
      <c r="I45" s="16">
        <v>1750</v>
      </c>
      <c r="K45" s="16">
        <v>0</v>
      </c>
      <c r="M45" s="16">
        <v>0</v>
      </c>
      <c r="O45" s="16">
        <v>108277</v>
      </c>
      <c r="Q45" s="16">
        <v>59920</v>
      </c>
      <c r="S45" s="16">
        <v>14063</v>
      </c>
      <c r="U45" s="16">
        <v>25336</v>
      </c>
      <c r="W45" s="16">
        <v>8945</v>
      </c>
      <c r="Y45" s="16">
        <v>0</v>
      </c>
      <c r="AA45" s="16">
        <v>0</v>
      </c>
      <c r="AC45" s="16">
        <v>3758</v>
      </c>
      <c r="AE45" s="16">
        <f t="shared" si="1"/>
        <v>379251</v>
      </c>
    </row>
    <row r="46" spans="1:31" ht="12.75" customHeight="1">
      <c r="A46" s="1" t="s">
        <v>658</v>
      </c>
      <c r="C46" s="1" t="s">
        <v>80</v>
      </c>
      <c r="E46" s="16">
        <v>7310</v>
      </c>
      <c r="G46" s="16">
        <v>2644</v>
      </c>
      <c r="I46" s="16">
        <v>917</v>
      </c>
      <c r="K46" s="16">
        <v>5589</v>
      </c>
      <c r="M46" s="16">
        <v>376</v>
      </c>
      <c r="O46" s="16">
        <v>11904</v>
      </c>
      <c r="Q46" s="16">
        <v>18765</v>
      </c>
      <c r="S46" s="16">
        <v>0</v>
      </c>
      <c r="U46" s="16">
        <v>0</v>
      </c>
      <c r="W46" s="16">
        <v>3536</v>
      </c>
      <c r="Y46" s="16">
        <v>0</v>
      </c>
      <c r="AA46" s="16">
        <v>0</v>
      </c>
      <c r="AC46" s="16">
        <v>0</v>
      </c>
      <c r="AE46" s="16">
        <f t="shared" si="1"/>
        <v>51041</v>
      </c>
    </row>
    <row r="47" spans="1:31" ht="12.75" customHeight="1">
      <c r="A47" s="1" t="s">
        <v>690</v>
      </c>
      <c r="C47" s="1" t="s">
        <v>353</v>
      </c>
      <c r="E47" s="16">
        <v>26337</v>
      </c>
      <c r="G47" s="16">
        <v>7136</v>
      </c>
      <c r="I47" s="16">
        <v>0</v>
      </c>
      <c r="K47" s="16">
        <v>0</v>
      </c>
      <c r="M47" s="16">
        <v>0</v>
      </c>
      <c r="O47" s="16">
        <v>6186</v>
      </c>
      <c r="Q47" s="16">
        <v>67784</v>
      </c>
      <c r="S47" s="16">
        <v>61792</v>
      </c>
      <c r="U47" s="16">
        <v>0</v>
      </c>
      <c r="W47" s="16">
        <v>1115</v>
      </c>
      <c r="Y47" s="16">
        <v>0</v>
      </c>
      <c r="AA47" s="16">
        <v>0</v>
      </c>
      <c r="AC47" s="16">
        <v>0</v>
      </c>
      <c r="AE47" s="16">
        <f t="shared" si="1"/>
        <v>170350</v>
      </c>
    </row>
    <row r="48" spans="1:31" ht="12.75" customHeight="1">
      <c r="A48" s="1" t="s">
        <v>446</v>
      </c>
      <c r="C48" s="1" t="s">
        <v>447</v>
      </c>
      <c r="E48" s="16">
        <v>3573</v>
      </c>
      <c r="G48" s="16">
        <v>751</v>
      </c>
      <c r="I48" s="16">
        <v>1789</v>
      </c>
      <c r="K48" s="16">
        <v>0</v>
      </c>
      <c r="M48" s="16">
        <v>0</v>
      </c>
      <c r="O48" s="16">
        <v>13405</v>
      </c>
      <c r="Q48" s="16">
        <v>35682</v>
      </c>
      <c r="S48" s="16">
        <v>29065</v>
      </c>
      <c r="U48" s="16">
        <v>0</v>
      </c>
      <c r="W48" s="16">
        <v>0</v>
      </c>
      <c r="Y48" s="16">
        <v>0</v>
      </c>
      <c r="AA48" s="16">
        <v>0</v>
      </c>
      <c r="AC48" s="16">
        <v>26</v>
      </c>
      <c r="AE48" s="16">
        <f t="shared" si="1"/>
        <v>84291</v>
      </c>
    </row>
    <row r="49" spans="1:31" ht="12.75" customHeight="1">
      <c r="A49" s="1" t="s">
        <v>107</v>
      </c>
      <c r="B49" s="1"/>
      <c r="C49" s="1" t="s">
        <v>100</v>
      </c>
      <c r="E49" s="16">
        <v>802323</v>
      </c>
      <c r="G49" s="16">
        <v>6011</v>
      </c>
      <c r="I49" s="16">
        <v>74691</v>
      </c>
      <c r="K49" s="16">
        <v>5770</v>
      </c>
      <c r="M49" s="16">
        <v>0</v>
      </c>
      <c r="O49" s="16">
        <v>209482</v>
      </c>
      <c r="Q49" s="16">
        <v>438950</v>
      </c>
      <c r="S49" s="16">
        <v>155554</v>
      </c>
      <c r="U49" s="16">
        <v>53719</v>
      </c>
      <c r="W49" s="16">
        <v>27293</v>
      </c>
      <c r="Y49" s="16">
        <v>0</v>
      </c>
      <c r="AA49" s="16">
        <v>0</v>
      </c>
      <c r="AC49" s="16">
        <v>0</v>
      </c>
      <c r="AE49" s="16">
        <f t="shared" si="1"/>
        <v>1773793</v>
      </c>
    </row>
    <row r="50" spans="1:31" ht="12.75" customHeight="1">
      <c r="A50" s="1" t="s">
        <v>616</v>
      </c>
      <c r="C50" s="1" t="s">
        <v>369</v>
      </c>
      <c r="E50" s="16">
        <v>33357</v>
      </c>
      <c r="G50" s="16">
        <v>0</v>
      </c>
      <c r="I50" s="16">
        <v>5780</v>
      </c>
      <c r="K50" s="16">
        <v>305</v>
      </c>
      <c r="M50" s="16">
        <v>32522</v>
      </c>
      <c r="O50" s="16">
        <v>42430</v>
      </c>
      <c r="Q50" s="16">
        <v>135053</v>
      </c>
      <c r="S50" s="16">
        <v>21438</v>
      </c>
      <c r="U50" s="16">
        <v>0</v>
      </c>
      <c r="W50" s="16">
        <v>0</v>
      </c>
      <c r="Y50" s="16">
        <v>20000</v>
      </c>
      <c r="AA50" s="16">
        <v>0</v>
      </c>
      <c r="AC50" s="16">
        <v>0</v>
      </c>
      <c r="AE50" s="16">
        <f t="shared" si="1"/>
        <v>290885</v>
      </c>
    </row>
    <row r="51" spans="1:31" ht="12.75" customHeight="1">
      <c r="A51" s="1" t="s">
        <v>108</v>
      </c>
      <c r="B51" s="1"/>
      <c r="C51" s="1" t="s">
        <v>104</v>
      </c>
      <c r="E51" s="16">
        <v>2900</v>
      </c>
      <c r="G51" s="16">
        <v>0</v>
      </c>
      <c r="I51" s="16">
        <v>0</v>
      </c>
      <c r="K51" s="16">
        <v>0</v>
      </c>
      <c r="M51" s="16">
        <v>4669</v>
      </c>
      <c r="O51" s="16">
        <v>17146</v>
      </c>
      <c r="Q51" s="16">
        <v>12295</v>
      </c>
      <c r="S51" s="16">
        <v>51000</v>
      </c>
      <c r="U51" s="16">
        <v>51000</v>
      </c>
      <c r="W51" s="16">
        <v>0</v>
      </c>
      <c r="Y51" s="16">
        <v>0</v>
      </c>
      <c r="AA51" s="16">
        <v>0</v>
      </c>
      <c r="AC51" s="16">
        <v>0</v>
      </c>
      <c r="AE51" s="16">
        <f t="shared" si="1"/>
        <v>139010</v>
      </c>
    </row>
    <row r="52" spans="1:31" ht="12.75" customHeight="1">
      <c r="A52" s="1" t="s">
        <v>709</v>
      </c>
      <c r="C52" s="1" t="s">
        <v>147</v>
      </c>
      <c r="E52" s="16">
        <v>300852</v>
      </c>
      <c r="G52" s="16">
        <v>78694</v>
      </c>
      <c r="I52" s="16">
        <v>26847</v>
      </c>
      <c r="K52" s="16">
        <v>0</v>
      </c>
      <c r="M52" s="16">
        <v>0</v>
      </c>
      <c r="O52" s="16">
        <v>277377</v>
      </c>
      <c r="Q52" s="16">
        <v>375489</v>
      </c>
      <c r="S52" s="16">
        <v>520689</v>
      </c>
      <c r="U52" s="16">
        <v>0</v>
      </c>
      <c r="W52" s="16">
        <v>7633</v>
      </c>
      <c r="Y52" s="16">
        <v>476644</v>
      </c>
      <c r="AA52" s="16">
        <v>0</v>
      </c>
      <c r="AC52" s="16">
        <v>1073659</v>
      </c>
      <c r="AE52" s="16">
        <f t="shared" si="1"/>
        <v>3137884</v>
      </c>
    </row>
    <row r="53" spans="1:31" ht="12.75" customHeight="1">
      <c r="A53" s="1" t="s">
        <v>100</v>
      </c>
      <c r="C53" s="1" t="s">
        <v>100</v>
      </c>
      <c r="E53" s="16">
        <v>92095</v>
      </c>
      <c r="G53" s="16">
        <v>8914</v>
      </c>
      <c r="I53" s="16">
        <v>48156</v>
      </c>
      <c r="K53" s="16">
        <v>0</v>
      </c>
      <c r="M53" s="16">
        <v>0</v>
      </c>
      <c r="O53" s="16">
        <v>27547</v>
      </c>
      <c r="Q53" s="16">
        <v>54298</v>
      </c>
      <c r="S53" s="16">
        <v>31383</v>
      </c>
      <c r="U53" s="16">
        <v>10928</v>
      </c>
      <c r="W53" s="16">
        <v>4092</v>
      </c>
      <c r="Y53" s="16">
        <v>7500</v>
      </c>
      <c r="AA53" s="16">
        <v>5498</v>
      </c>
      <c r="AC53" s="16">
        <v>0</v>
      </c>
      <c r="AE53" s="16">
        <f t="shared" si="1"/>
        <v>290411</v>
      </c>
    </row>
    <row r="54" spans="1:31" ht="12.75" customHeight="1">
      <c r="A54" s="1" t="s">
        <v>109</v>
      </c>
      <c r="B54" s="1"/>
      <c r="C54" s="1" t="s">
        <v>110</v>
      </c>
      <c r="E54" s="16">
        <v>1831</v>
      </c>
      <c r="G54" s="16">
        <v>50</v>
      </c>
      <c r="I54" s="16">
        <v>2</v>
      </c>
      <c r="K54" s="16">
        <v>0</v>
      </c>
      <c r="M54" s="16">
        <v>0</v>
      </c>
      <c r="O54" s="16">
        <v>0</v>
      </c>
      <c r="Q54" s="16">
        <v>57836</v>
      </c>
      <c r="S54" s="16">
        <v>0</v>
      </c>
      <c r="U54" s="16">
        <v>0</v>
      </c>
      <c r="W54" s="16">
        <v>0</v>
      </c>
      <c r="Y54" s="16">
        <v>0</v>
      </c>
      <c r="AA54" s="16">
        <v>0</v>
      </c>
      <c r="AC54" s="16">
        <v>0</v>
      </c>
      <c r="AE54" s="16">
        <f t="shared" si="1"/>
        <v>59719</v>
      </c>
    </row>
    <row r="55" spans="1:31" ht="12.75" customHeight="1">
      <c r="A55" s="1" t="s">
        <v>630</v>
      </c>
      <c r="C55" s="1" t="s">
        <v>378</v>
      </c>
      <c r="E55" s="16">
        <v>213264</v>
      </c>
      <c r="G55" s="16">
        <v>2491</v>
      </c>
      <c r="I55" s="16">
        <v>0</v>
      </c>
      <c r="K55" s="16">
        <v>0</v>
      </c>
      <c r="M55" s="16">
        <v>0</v>
      </c>
      <c r="O55" s="16">
        <v>18758</v>
      </c>
      <c r="Q55" s="16">
        <v>54879</v>
      </c>
      <c r="S55" s="16">
        <v>0</v>
      </c>
      <c r="U55" s="16">
        <v>0</v>
      </c>
      <c r="W55" s="16">
        <v>0</v>
      </c>
      <c r="Y55" s="16">
        <v>163</v>
      </c>
      <c r="AA55" s="16">
        <v>0</v>
      </c>
      <c r="AC55" s="16">
        <v>0</v>
      </c>
      <c r="AE55" s="16">
        <f t="shared" si="1"/>
        <v>289555</v>
      </c>
    </row>
    <row r="56" spans="1:31" ht="12.75" customHeight="1">
      <c r="A56" s="1" t="s">
        <v>111</v>
      </c>
      <c r="B56" s="1"/>
      <c r="C56" s="1" t="s">
        <v>112</v>
      </c>
      <c r="E56" s="16">
        <v>605680</v>
      </c>
      <c r="G56" s="16">
        <v>0</v>
      </c>
      <c r="I56" s="16">
        <v>6341</v>
      </c>
      <c r="K56" s="16">
        <v>0</v>
      </c>
      <c r="M56" s="16">
        <v>55904</v>
      </c>
      <c r="O56" s="16">
        <v>164190</v>
      </c>
      <c r="Q56" s="16">
        <v>299299</v>
      </c>
      <c r="S56" s="16">
        <v>126089</v>
      </c>
      <c r="U56" s="16">
        <v>720675</v>
      </c>
      <c r="W56" s="16">
        <v>77721</v>
      </c>
      <c r="Y56" s="16">
        <v>331040</v>
      </c>
      <c r="AA56" s="16">
        <v>325000</v>
      </c>
      <c r="AC56" s="16">
        <v>9650</v>
      </c>
      <c r="AE56" s="16">
        <f t="shared" si="1"/>
        <v>2721589</v>
      </c>
    </row>
    <row r="57" spans="1:31" ht="12.75" customHeight="1">
      <c r="A57" s="1" t="s">
        <v>113</v>
      </c>
      <c r="B57" s="1"/>
      <c r="C57" s="1" t="s">
        <v>114</v>
      </c>
      <c r="E57" s="16">
        <v>2447</v>
      </c>
      <c r="G57" s="16">
        <v>1205</v>
      </c>
      <c r="I57" s="16">
        <v>7350</v>
      </c>
      <c r="K57" s="16">
        <v>0</v>
      </c>
      <c r="M57" s="16">
        <v>17640</v>
      </c>
      <c r="O57" s="16">
        <v>2715</v>
      </c>
      <c r="Q57" s="16">
        <v>99721</v>
      </c>
      <c r="S57" s="16">
        <v>0</v>
      </c>
      <c r="U57" s="16">
        <v>0</v>
      </c>
      <c r="W57" s="16">
        <v>0</v>
      </c>
      <c r="Y57" s="16">
        <v>0</v>
      </c>
      <c r="AA57" s="16">
        <v>0</v>
      </c>
      <c r="AC57" s="16">
        <v>0</v>
      </c>
      <c r="AE57" s="16">
        <f t="shared" si="1"/>
        <v>131078</v>
      </c>
    </row>
    <row r="58" spans="1:31" ht="12.75" customHeight="1">
      <c r="A58" s="1" t="s">
        <v>115</v>
      </c>
      <c r="B58" s="1"/>
      <c r="C58" s="1" t="s">
        <v>69</v>
      </c>
      <c r="E58" s="16">
        <v>21286</v>
      </c>
      <c r="G58" s="16">
        <v>781</v>
      </c>
      <c r="I58" s="16">
        <v>0</v>
      </c>
      <c r="K58" s="16">
        <v>0</v>
      </c>
      <c r="M58" s="16">
        <v>1293</v>
      </c>
      <c r="O58" s="16">
        <v>28634</v>
      </c>
      <c r="Q58" s="16">
        <v>87489</v>
      </c>
      <c r="S58" s="16">
        <v>0</v>
      </c>
      <c r="U58" s="16">
        <v>0</v>
      </c>
      <c r="W58" s="16">
        <v>0</v>
      </c>
      <c r="Y58" s="16">
        <v>0</v>
      </c>
      <c r="AA58" s="16">
        <v>0</v>
      </c>
      <c r="AC58" s="16">
        <v>0</v>
      </c>
      <c r="AE58" s="16">
        <f t="shared" si="1"/>
        <v>139483</v>
      </c>
    </row>
    <row r="59" spans="1:31" ht="12.75" customHeight="1">
      <c r="A59" s="1" t="s">
        <v>626</v>
      </c>
      <c r="C59" s="1" t="s">
        <v>250</v>
      </c>
      <c r="E59" s="16">
        <v>44221</v>
      </c>
      <c r="G59" s="16">
        <v>3622</v>
      </c>
      <c r="I59" s="16">
        <v>19334</v>
      </c>
      <c r="K59" s="16">
        <v>0</v>
      </c>
      <c r="M59" s="16">
        <v>0</v>
      </c>
      <c r="O59" s="16">
        <v>9314</v>
      </c>
      <c r="Q59" s="16">
        <v>36207</v>
      </c>
      <c r="S59" s="16">
        <v>0</v>
      </c>
      <c r="U59" s="16">
        <v>0</v>
      </c>
      <c r="W59" s="16">
        <v>0</v>
      </c>
      <c r="Y59" s="16">
        <v>0</v>
      </c>
      <c r="AA59" s="16">
        <v>0</v>
      </c>
      <c r="AC59" s="16">
        <v>359</v>
      </c>
      <c r="AE59" s="16">
        <f t="shared" si="1"/>
        <v>113057</v>
      </c>
    </row>
    <row r="60" spans="1:31" ht="12.75" customHeight="1">
      <c r="A60" s="1" t="s">
        <v>528</v>
      </c>
      <c r="C60" s="1" t="s">
        <v>261</v>
      </c>
      <c r="E60" s="16">
        <v>133560</v>
      </c>
      <c r="G60" s="16">
        <v>11410</v>
      </c>
      <c r="I60" s="16">
        <v>4619</v>
      </c>
      <c r="K60" s="16">
        <v>7249</v>
      </c>
      <c r="M60" s="16">
        <v>2569</v>
      </c>
      <c r="O60" s="16">
        <v>78828</v>
      </c>
      <c r="Q60" s="16">
        <v>81285</v>
      </c>
      <c r="S60" s="16">
        <v>0</v>
      </c>
      <c r="U60" s="16">
        <v>0</v>
      </c>
      <c r="W60" s="16">
        <v>0</v>
      </c>
      <c r="Y60" s="16">
        <v>0</v>
      </c>
      <c r="AA60" s="16">
        <v>0</v>
      </c>
      <c r="AC60" s="16">
        <v>0</v>
      </c>
      <c r="AE60" s="16">
        <f t="shared" si="1"/>
        <v>319520</v>
      </c>
    </row>
    <row r="61" spans="1:31" ht="12.75" customHeight="1">
      <c r="A61" s="1" t="s">
        <v>116</v>
      </c>
      <c r="B61" s="1"/>
      <c r="C61" s="1" t="s">
        <v>102</v>
      </c>
      <c r="E61" s="16">
        <v>283675</v>
      </c>
      <c r="G61" s="16">
        <v>5843</v>
      </c>
      <c r="I61" s="16">
        <v>17108</v>
      </c>
      <c r="K61" s="16">
        <v>4739</v>
      </c>
      <c r="M61" s="16">
        <v>0</v>
      </c>
      <c r="O61" s="16">
        <v>165624</v>
      </c>
      <c r="Q61" s="16">
        <v>410135</v>
      </c>
      <c r="S61" s="16">
        <v>42551</v>
      </c>
      <c r="U61" s="16">
        <v>55000</v>
      </c>
      <c r="W61" s="16">
        <v>6370</v>
      </c>
      <c r="Y61" s="16">
        <v>29583</v>
      </c>
      <c r="AA61" s="16">
        <v>1500</v>
      </c>
      <c r="AC61" s="16">
        <v>0</v>
      </c>
      <c r="AE61" s="16">
        <f t="shared" si="1"/>
        <v>1022128</v>
      </c>
    </row>
    <row r="62" spans="1:31" ht="12.75" customHeight="1">
      <c r="A62" s="1" t="s">
        <v>465</v>
      </c>
      <c r="C62" s="1" t="s">
        <v>100</v>
      </c>
      <c r="E62" s="16">
        <v>315774</v>
      </c>
      <c r="G62" s="16">
        <v>4179</v>
      </c>
      <c r="I62" s="16">
        <v>4964</v>
      </c>
      <c r="K62" s="16">
        <v>0</v>
      </c>
      <c r="M62" s="16">
        <v>0</v>
      </c>
      <c r="O62" s="16">
        <v>86106</v>
      </c>
      <c r="Q62" s="16">
        <v>32900</v>
      </c>
      <c r="S62" s="16">
        <v>122057</v>
      </c>
      <c r="U62" s="16">
        <v>4635</v>
      </c>
      <c r="W62" s="16">
        <v>24325</v>
      </c>
      <c r="Y62" s="16">
        <v>36055</v>
      </c>
      <c r="AA62" s="16">
        <v>17500</v>
      </c>
      <c r="AC62" s="16">
        <v>0</v>
      </c>
      <c r="AE62" s="16">
        <f t="shared" si="1"/>
        <v>648495</v>
      </c>
    </row>
    <row r="63" spans="1:31" ht="12.75" customHeight="1">
      <c r="A63" s="1" t="s">
        <v>117</v>
      </c>
      <c r="B63" s="1"/>
      <c r="C63" s="1" t="s">
        <v>118</v>
      </c>
      <c r="E63" s="16">
        <v>125031</v>
      </c>
      <c r="G63" s="16">
        <v>1464</v>
      </c>
      <c r="I63" s="16">
        <v>0</v>
      </c>
      <c r="K63" s="16">
        <v>0</v>
      </c>
      <c r="M63" s="16">
        <v>0</v>
      </c>
      <c r="O63" s="16">
        <v>42609</v>
      </c>
      <c r="Q63" s="16">
        <v>72862</v>
      </c>
      <c r="S63" s="16">
        <v>60090</v>
      </c>
      <c r="U63" s="16">
        <v>25190</v>
      </c>
      <c r="W63" s="16">
        <v>2113</v>
      </c>
      <c r="Y63" s="16">
        <v>11000</v>
      </c>
      <c r="AA63" s="16">
        <v>0</v>
      </c>
      <c r="AC63" s="16">
        <v>85500</v>
      </c>
      <c r="AE63" s="16">
        <f t="shared" si="1"/>
        <v>425859</v>
      </c>
    </row>
    <row r="64" spans="1:31" ht="12.75" customHeight="1">
      <c r="A64" s="1" t="s">
        <v>119</v>
      </c>
      <c r="B64" s="1"/>
      <c r="C64" s="1" t="s">
        <v>120</v>
      </c>
      <c r="E64" s="16">
        <v>242265</v>
      </c>
      <c r="G64" s="16">
        <v>3999</v>
      </c>
      <c r="I64" s="16">
        <v>5804</v>
      </c>
      <c r="K64" s="16">
        <v>2150</v>
      </c>
      <c r="M64" s="16">
        <v>0</v>
      </c>
      <c r="O64" s="16">
        <v>0</v>
      </c>
      <c r="Q64" s="16">
        <v>150416</v>
      </c>
      <c r="S64" s="16">
        <v>19764</v>
      </c>
      <c r="U64" s="16">
        <v>0</v>
      </c>
      <c r="W64" s="16">
        <v>0</v>
      </c>
      <c r="Y64" s="16">
        <v>75013</v>
      </c>
      <c r="AA64" s="16">
        <v>0</v>
      </c>
      <c r="AC64" s="16">
        <v>0</v>
      </c>
      <c r="AE64" s="16">
        <f t="shared" si="1"/>
        <v>499411</v>
      </c>
    </row>
    <row r="65" spans="1:31" ht="12.75" customHeight="1">
      <c r="A65" s="1" t="s">
        <v>765</v>
      </c>
      <c r="C65" s="1" t="s">
        <v>190</v>
      </c>
      <c r="E65" s="16">
        <v>3241</v>
      </c>
      <c r="G65" s="16">
        <v>0</v>
      </c>
      <c r="I65" s="16">
        <v>61427</v>
      </c>
      <c r="K65" s="16">
        <v>0</v>
      </c>
      <c r="M65" s="16">
        <v>1383</v>
      </c>
      <c r="O65" s="16">
        <v>2950</v>
      </c>
      <c r="Q65" s="16">
        <v>17352</v>
      </c>
      <c r="S65" s="16">
        <v>0</v>
      </c>
      <c r="U65" s="16">
        <v>0</v>
      </c>
      <c r="W65" s="16">
        <v>0</v>
      </c>
      <c r="Y65" s="16">
        <v>16000</v>
      </c>
      <c r="AA65" s="16">
        <v>0</v>
      </c>
      <c r="AC65" s="16">
        <v>0</v>
      </c>
      <c r="AE65" s="16">
        <f t="shared" si="1"/>
        <v>102353</v>
      </c>
    </row>
    <row r="66" spans="1:31" ht="12.75" customHeight="1">
      <c r="A66" s="1" t="s">
        <v>121</v>
      </c>
      <c r="B66" s="1"/>
      <c r="C66" s="1" t="s">
        <v>122</v>
      </c>
      <c r="E66" s="16">
        <v>572889</v>
      </c>
      <c r="G66" s="16">
        <v>0</v>
      </c>
      <c r="I66" s="16">
        <v>82430</v>
      </c>
      <c r="K66" s="16">
        <v>11309</v>
      </c>
      <c r="M66" s="16">
        <v>1583</v>
      </c>
      <c r="O66" s="16">
        <v>0</v>
      </c>
      <c r="Q66" s="16">
        <v>437641</v>
      </c>
      <c r="S66" s="16">
        <v>225034</v>
      </c>
      <c r="U66" s="16">
        <v>345700</v>
      </c>
      <c r="W66" s="16">
        <v>0</v>
      </c>
      <c r="Y66" s="16">
        <v>182593</v>
      </c>
      <c r="AA66" s="16">
        <v>0</v>
      </c>
      <c r="AC66" s="16">
        <v>113408</v>
      </c>
      <c r="AE66" s="16">
        <f t="shared" si="1"/>
        <v>1972587</v>
      </c>
    </row>
    <row r="67" spans="1:31" ht="12.75" customHeight="1">
      <c r="A67" s="1" t="s">
        <v>123</v>
      </c>
      <c r="B67" s="1"/>
      <c r="C67" s="1" t="s">
        <v>94</v>
      </c>
      <c r="E67" s="16">
        <v>49181</v>
      </c>
      <c r="G67" s="16">
        <v>388</v>
      </c>
      <c r="I67" s="16">
        <v>9790</v>
      </c>
      <c r="K67" s="16">
        <v>0</v>
      </c>
      <c r="M67" s="16">
        <v>0</v>
      </c>
      <c r="O67" s="16">
        <v>17771</v>
      </c>
      <c r="Q67" s="16">
        <v>103447</v>
      </c>
      <c r="S67" s="16">
        <v>27657</v>
      </c>
      <c r="U67" s="16">
        <v>21582</v>
      </c>
      <c r="W67" s="16">
        <v>0</v>
      </c>
      <c r="Y67" s="16">
        <v>40082</v>
      </c>
      <c r="AA67" s="16">
        <v>0</v>
      </c>
      <c r="AC67" s="16">
        <v>0</v>
      </c>
      <c r="AE67" s="16">
        <f t="shared" si="1"/>
        <v>269898</v>
      </c>
    </row>
    <row r="68" spans="1:31" ht="12.75" customHeight="1">
      <c r="A68" s="1" t="s">
        <v>537</v>
      </c>
      <c r="C68" s="1" t="s">
        <v>200</v>
      </c>
      <c r="E68" s="16">
        <v>77784</v>
      </c>
      <c r="G68" s="16">
        <v>4515</v>
      </c>
      <c r="I68" s="16">
        <v>3623</v>
      </c>
      <c r="K68" s="16">
        <v>19400</v>
      </c>
      <c r="M68" s="16">
        <v>29441</v>
      </c>
      <c r="O68" s="16">
        <v>21368</v>
      </c>
      <c r="Q68" s="16">
        <v>31237</v>
      </c>
      <c r="S68" s="16">
        <v>0</v>
      </c>
      <c r="U68" s="16">
        <v>0</v>
      </c>
      <c r="W68" s="16">
        <v>0</v>
      </c>
      <c r="Y68" s="16">
        <v>0</v>
      </c>
      <c r="AA68" s="16">
        <v>29950</v>
      </c>
      <c r="AC68" s="16">
        <v>500</v>
      </c>
      <c r="AE68" s="16">
        <f t="shared" si="1"/>
        <v>217818</v>
      </c>
    </row>
    <row r="69" spans="1:31" ht="12.75" customHeight="1">
      <c r="A69" s="1" t="s">
        <v>597</v>
      </c>
      <c r="C69" s="1" t="s">
        <v>69</v>
      </c>
      <c r="E69" s="16">
        <v>11543</v>
      </c>
      <c r="G69" s="16">
        <v>184</v>
      </c>
      <c r="I69" s="16">
        <v>13014</v>
      </c>
      <c r="K69" s="16">
        <v>0</v>
      </c>
      <c r="M69" s="16">
        <v>0</v>
      </c>
      <c r="O69" s="16">
        <v>7970</v>
      </c>
      <c r="Q69" s="16">
        <v>9997</v>
      </c>
      <c r="S69" s="16">
        <v>0</v>
      </c>
      <c r="U69" s="16">
        <v>317</v>
      </c>
      <c r="W69" s="16">
        <v>0</v>
      </c>
      <c r="Y69" s="16">
        <v>0</v>
      </c>
      <c r="AA69" s="16">
        <v>0</v>
      </c>
      <c r="AC69" s="16">
        <v>0</v>
      </c>
      <c r="AE69" s="16">
        <f t="shared" si="1"/>
        <v>43025</v>
      </c>
    </row>
    <row r="70" spans="2:31" ht="12.75" customHeight="1">
      <c r="B70" s="1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2"/>
      <c r="AA70" s="34"/>
      <c r="AB70" s="34"/>
      <c r="AE70" s="34" t="s">
        <v>785</v>
      </c>
    </row>
    <row r="71" spans="1:31" s="36" customFormat="1" ht="12.75" customHeight="1">
      <c r="A71" s="36" t="s">
        <v>124</v>
      </c>
      <c r="C71" s="36" t="s">
        <v>118</v>
      </c>
      <c r="E71" s="36">
        <v>42346</v>
      </c>
      <c r="G71" s="36">
        <v>1578</v>
      </c>
      <c r="I71" s="36">
        <v>3047</v>
      </c>
      <c r="K71" s="36">
        <v>153</v>
      </c>
      <c r="M71" s="36">
        <v>5888</v>
      </c>
      <c r="O71" s="36">
        <v>49881</v>
      </c>
      <c r="Q71" s="36">
        <v>47553</v>
      </c>
      <c r="S71" s="36">
        <v>31229</v>
      </c>
      <c r="U71" s="36">
        <v>3146</v>
      </c>
      <c r="W71" s="36">
        <v>0</v>
      </c>
      <c r="Y71" s="36">
        <v>30055</v>
      </c>
      <c r="AA71" s="36">
        <v>0</v>
      </c>
      <c r="AC71" s="36">
        <v>0</v>
      </c>
      <c r="AE71" s="36">
        <f aca="true" t="shared" si="2" ref="AE71:AE102">SUM(E71:AC71)</f>
        <v>214876</v>
      </c>
    </row>
    <row r="72" spans="1:31" ht="12.75" customHeight="1">
      <c r="A72" s="1" t="s">
        <v>125</v>
      </c>
      <c r="B72" s="1"/>
      <c r="C72" s="1" t="s">
        <v>126</v>
      </c>
      <c r="E72" s="16">
        <v>661817</v>
      </c>
      <c r="G72" s="16">
        <v>73665</v>
      </c>
      <c r="I72" s="16">
        <v>146130</v>
      </c>
      <c r="K72" s="16">
        <v>1558</v>
      </c>
      <c r="M72" s="16">
        <v>5500</v>
      </c>
      <c r="O72" s="16">
        <v>163633</v>
      </c>
      <c r="Q72" s="16">
        <v>404472</v>
      </c>
      <c r="S72" s="16">
        <v>617865</v>
      </c>
      <c r="U72" s="16">
        <v>33269</v>
      </c>
      <c r="W72" s="16">
        <v>0</v>
      </c>
      <c r="Y72" s="16">
        <v>769778</v>
      </c>
      <c r="AA72" s="16">
        <v>0</v>
      </c>
      <c r="AC72" s="16">
        <v>0</v>
      </c>
      <c r="AE72" s="16">
        <f t="shared" si="2"/>
        <v>2877687</v>
      </c>
    </row>
    <row r="73" spans="1:31" ht="12.75" customHeight="1">
      <c r="A73" s="1" t="s">
        <v>127</v>
      </c>
      <c r="B73" s="1"/>
      <c r="C73" s="1" t="s">
        <v>96</v>
      </c>
      <c r="E73" s="16">
        <v>93077</v>
      </c>
      <c r="G73" s="16">
        <v>784</v>
      </c>
      <c r="I73" s="16">
        <v>12177</v>
      </c>
      <c r="K73" s="16">
        <v>5108</v>
      </c>
      <c r="M73" s="16">
        <v>38929</v>
      </c>
      <c r="O73" s="16">
        <v>81709</v>
      </c>
      <c r="Q73" s="16">
        <v>88173</v>
      </c>
      <c r="S73" s="16">
        <v>29878</v>
      </c>
      <c r="U73" s="16">
        <v>0</v>
      </c>
      <c r="W73" s="16">
        <v>0</v>
      </c>
      <c r="Y73" s="16">
        <v>116223</v>
      </c>
      <c r="AA73" s="16">
        <v>0</v>
      </c>
      <c r="AC73" s="16">
        <v>0</v>
      </c>
      <c r="AE73" s="16">
        <f t="shared" si="2"/>
        <v>466058</v>
      </c>
    </row>
    <row r="74" spans="1:31" ht="12.75" customHeight="1">
      <c r="A74" s="1" t="s">
        <v>128</v>
      </c>
      <c r="B74" s="1"/>
      <c r="C74" s="1" t="s">
        <v>129</v>
      </c>
      <c r="E74" s="16">
        <v>760205</v>
      </c>
      <c r="G74" s="16">
        <v>22526</v>
      </c>
      <c r="I74" s="16">
        <v>38876</v>
      </c>
      <c r="K74" s="16">
        <v>32361</v>
      </c>
      <c r="M74" s="16">
        <v>0</v>
      </c>
      <c r="O74" s="16">
        <v>443696</v>
      </c>
      <c r="Q74" s="16">
        <v>430158</v>
      </c>
      <c r="S74" s="16">
        <v>0</v>
      </c>
      <c r="U74" s="16">
        <v>221410</v>
      </c>
      <c r="W74" s="16">
        <v>12103</v>
      </c>
      <c r="Y74" s="16">
        <v>0</v>
      </c>
      <c r="AA74" s="16">
        <v>0</v>
      </c>
      <c r="AC74" s="16">
        <v>0</v>
      </c>
      <c r="AE74" s="16">
        <f t="shared" si="2"/>
        <v>1961335</v>
      </c>
    </row>
    <row r="75" spans="1:31" ht="12.75" customHeight="1">
      <c r="A75" s="1" t="s">
        <v>130</v>
      </c>
      <c r="B75" s="1"/>
      <c r="C75" s="1" t="s">
        <v>131</v>
      </c>
      <c r="E75" s="16">
        <v>184644</v>
      </c>
      <c r="G75" s="16">
        <v>4384</v>
      </c>
      <c r="I75" s="16">
        <v>29027</v>
      </c>
      <c r="K75" s="16">
        <v>964</v>
      </c>
      <c r="M75" s="16">
        <v>501978</v>
      </c>
      <c r="O75" s="16">
        <v>46782</v>
      </c>
      <c r="Q75" s="16">
        <v>243031</v>
      </c>
      <c r="S75" s="16">
        <v>432384</v>
      </c>
      <c r="U75" s="16">
        <v>58365</v>
      </c>
      <c r="W75" s="16">
        <v>6519</v>
      </c>
      <c r="Y75" s="16">
        <v>2534</v>
      </c>
      <c r="AA75" s="16">
        <v>69778</v>
      </c>
      <c r="AC75" s="16">
        <v>0</v>
      </c>
      <c r="AE75" s="16">
        <f t="shared" si="2"/>
        <v>1580390</v>
      </c>
    </row>
    <row r="76" spans="1:31" ht="12.75" customHeight="1">
      <c r="A76" s="1" t="s">
        <v>132</v>
      </c>
      <c r="B76" s="1"/>
      <c r="C76" s="1" t="s">
        <v>133</v>
      </c>
      <c r="E76" s="16">
        <v>4229</v>
      </c>
      <c r="G76" s="16">
        <v>143</v>
      </c>
      <c r="I76" s="16">
        <v>29125</v>
      </c>
      <c r="K76" s="16">
        <v>2010</v>
      </c>
      <c r="M76" s="16">
        <v>4161</v>
      </c>
      <c r="O76" s="16">
        <v>55478</v>
      </c>
      <c r="Q76" s="16">
        <v>52843</v>
      </c>
      <c r="S76" s="16">
        <v>0</v>
      </c>
      <c r="U76" s="16">
        <v>22443</v>
      </c>
      <c r="W76" s="16">
        <v>21120</v>
      </c>
      <c r="Y76" s="16">
        <v>5000</v>
      </c>
      <c r="AA76" s="16">
        <v>0</v>
      </c>
      <c r="AC76" s="16">
        <v>0</v>
      </c>
      <c r="AE76" s="16">
        <f t="shared" si="2"/>
        <v>196552</v>
      </c>
    </row>
    <row r="77" spans="1:31" ht="12.75" customHeight="1">
      <c r="A77" s="1" t="s">
        <v>554</v>
      </c>
      <c r="C77" s="1" t="s">
        <v>157</v>
      </c>
      <c r="E77" s="16">
        <v>0</v>
      </c>
      <c r="G77" s="16">
        <v>0</v>
      </c>
      <c r="I77" s="16">
        <v>0</v>
      </c>
      <c r="K77" s="16">
        <v>0</v>
      </c>
      <c r="M77" s="16">
        <v>0</v>
      </c>
      <c r="O77" s="16">
        <v>13415</v>
      </c>
      <c r="Q77" s="16">
        <v>32960</v>
      </c>
      <c r="S77" s="16">
        <v>0</v>
      </c>
      <c r="U77" s="16">
        <v>0</v>
      </c>
      <c r="W77" s="16">
        <v>0</v>
      </c>
      <c r="Y77" s="16">
        <v>0</v>
      </c>
      <c r="AA77" s="16">
        <v>0</v>
      </c>
      <c r="AC77" s="16">
        <v>0</v>
      </c>
      <c r="AE77" s="16">
        <f t="shared" si="2"/>
        <v>46375</v>
      </c>
    </row>
    <row r="78" spans="1:31" ht="12.75" customHeight="1">
      <c r="A78" s="1" t="s">
        <v>134</v>
      </c>
      <c r="B78" s="1"/>
      <c r="C78" s="1" t="s">
        <v>442</v>
      </c>
      <c r="E78" s="16">
        <v>271568</v>
      </c>
      <c r="G78" s="16">
        <v>0</v>
      </c>
      <c r="I78" s="16">
        <v>9392</v>
      </c>
      <c r="K78" s="16">
        <v>0</v>
      </c>
      <c r="M78" s="16">
        <v>0</v>
      </c>
      <c r="O78" s="16">
        <v>291535</v>
      </c>
      <c r="Q78" s="16">
        <v>130006</v>
      </c>
      <c r="S78" s="16">
        <v>2550</v>
      </c>
      <c r="U78" s="16">
        <v>0</v>
      </c>
      <c r="W78" s="16">
        <v>0</v>
      </c>
      <c r="Y78" s="16">
        <v>0</v>
      </c>
      <c r="AA78" s="16">
        <v>0</v>
      </c>
      <c r="AC78" s="16">
        <v>0</v>
      </c>
      <c r="AE78" s="16">
        <f t="shared" si="2"/>
        <v>705051</v>
      </c>
    </row>
    <row r="79" spans="1:31" ht="12.75" customHeight="1">
      <c r="A79" s="1" t="s">
        <v>135</v>
      </c>
      <c r="B79" s="1"/>
      <c r="C79" s="1" t="s">
        <v>94</v>
      </c>
      <c r="E79" s="16">
        <v>100302</v>
      </c>
      <c r="G79" s="16">
        <v>9913</v>
      </c>
      <c r="I79" s="16">
        <v>19804</v>
      </c>
      <c r="K79" s="16">
        <v>7378</v>
      </c>
      <c r="M79" s="16">
        <v>522</v>
      </c>
      <c r="O79" s="16">
        <v>161457</v>
      </c>
      <c r="Q79" s="16">
        <v>102755</v>
      </c>
      <c r="S79" s="16">
        <v>204317</v>
      </c>
      <c r="U79" s="16">
        <v>163871</v>
      </c>
      <c r="W79" s="16">
        <v>59990</v>
      </c>
      <c r="Y79" s="16">
        <v>101886</v>
      </c>
      <c r="AA79" s="16">
        <v>0</v>
      </c>
      <c r="AC79" s="16">
        <v>0</v>
      </c>
      <c r="AE79" s="16">
        <f t="shared" si="2"/>
        <v>932195</v>
      </c>
    </row>
    <row r="80" spans="1:31" ht="12.75" customHeight="1">
      <c r="A80" s="1" t="s">
        <v>136</v>
      </c>
      <c r="B80" s="1"/>
      <c r="C80" s="1" t="s">
        <v>137</v>
      </c>
      <c r="E80" s="16">
        <v>547610</v>
      </c>
      <c r="G80" s="16">
        <v>0</v>
      </c>
      <c r="I80" s="16">
        <v>200</v>
      </c>
      <c r="K80" s="16">
        <v>15332</v>
      </c>
      <c r="M80" s="16">
        <v>0</v>
      </c>
      <c r="O80" s="16">
        <v>5423</v>
      </c>
      <c r="Q80" s="16">
        <v>109084</v>
      </c>
      <c r="S80" s="16">
        <v>15789</v>
      </c>
      <c r="U80" s="16">
        <v>0</v>
      </c>
      <c r="W80" s="16">
        <v>0</v>
      </c>
      <c r="Y80" s="16">
        <v>1691</v>
      </c>
      <c r="AA80" s="16">
        <v>0</v>
      </c>
      <c r="AC80" s="16">
        <v>0</v>
      </c>
      <c r="AE80" s="16">
        <f t="shared" si="2"/>
        <v>695129</v>
      </c>
    </row>
    <row r="81" spans="1:31" ht="12.75" customHeight="1">
      <c r="A81" s="1" t="s">
        <v>515</v>
      </c>
      <c r="C81" s="1" t="s">
        <v>112</v>
      </c>
      <c r="E81" s="16">
        <v>1330538</v>
      </c>
      <c r="G81" s="16">
        <v>5032</v>
      </c>
      <c r="I81" s="16">
        <v>53389</v>
      </c>
      <c r="K81" s="16">
        <v>3711</v>
      </c>
      <c r="M81" s="16">
        <v>115652</v>
      </c>
      <c r="O81" s="16">
        <v>378072</v>
      </c>
      <c r="Q81" s="16">
        <v>1007254</v>
      </c>
      <c r="S81" s="16">
        <v>291645</v>
      </c>
      <c r="U81" s="16">
        <v>124887</v>
      </c>
      <c r="W81" s="16">
        <v>20235</v>
      </c>
      <c r="Y81" s="16">
        <v>311668</v>
      </c>
      <c r="AA81" s="16">
        <v>0</v>
      </c>
      <c r="AC81" s="16">
        <v>78988</v>
      </c>
      <c r="AE81" s="16">
        <f t="shared" si="2"/>
        <v>3721071</v>
      </c>
    </row>
    <row r="82" spans="1:31" ht="12.75" customHeight="1">
      <c r="A82" s="1" t="s">
        <v>531</v>
      </c>
      <c r="C82" s="1" t="s">
        <v>98</v>
      </c>
      <c r="E82" s="16">
        <v>97515</v>
      </c>
      <c r="G82" s="16">
        <v>2120</v>
      </c>
      <c r="I82" s="16">
        <v>10501</v>
      </c>
      <c r="K82" s="16">
        <v>0</v>
      </c>
      <c r="M82" s="16">
        <v>0</v>
      </c>
      <c r="O82" s="16">
        <v>216189</v>
      </c>
      <c r="Q82" s="16">
        <v>83507</v>
      </c>
      <c r="S82" s="16">
        <v>14039</v>
      </c>
      <c r="U82" s="16">
        <v>36341</v>
      </c>
      <c r="W82" s="16">
        <v>40054</v>
      </c>
      <c r="Y82" s="16">
        <v>117170</v>
      </c>
      <c r="AA82" s="16">
        <v>0</v>
      </c>
      <c r="AC82" s="16">
        <v>0</v>
      </c>
      <c r="AE82" s="16">
        <f t="shared" si="2"/>
        <v>617436</v>
      </c>
    </row>
    <row r="83" spans="1:31" ht="12.75" customHeight="1">
      <c r="A83" s="1" t="s">
        <v>138</v>
      </c>
      <c r="B83" s="1"/>
      <c r="C83" s="1" t="s">
        <v>106</v>
      </c>
      <c r="E83" s="16">
        <v>456453</v>
      </c>
      <c r="G83" s="16">
        <v>7223</v>
      </c>
      <c r="I83" s="16">
        <v>14180</v>
      </c>
      <c r="K83" s="16">
        <v>1353</v>
      </c>
      <c r="M83" s="16">
        <v>3870</v>
      </c>
      <c r="O83" s="16">
        <v>147583</v>
      </c>
      <c r="Q83" s="16">
        <v>155041</v>
      </c>
      <c r="S83" s="16">
        <v>309732</v>
      </c>
      <c r="U83" s="16">
        <v>0</v>
      </c>
      <c r="W83" s="16">
        <v>0</v>
      </c>
      <c r="Y83" s="16">
        <v>106000</v>
      </c>
      <c r="AA83" s="16">
        <v>0</v>
      </c>
      <c r="AC83" s="16">
        <v>10959</v>
      </c>
      <c r="AE83" s="16">
        <f t="shared" si="2"/>
        <v>1212394</v>
      </c>
    </row>
    <row r="84" spans="1:31" ht="12.75" customHeight="1">
      <c r="A84" s="1" t="s">
        <v>541</v>
      </c>
      <c r="C84" s="1" t="s">
        <v>149</v>
      </c>
      <c r="E84" s="16">
        <v>57881</v>
      </c>
      <c r="G84" s="16">
        <v>0</v>
      </c>
      <c r="I84" s="16">
        <v>0</v>
      </c>
      <c r="K84" s="16">
        <v>0</v>
      </c>
      <c r="M84" s="16">
        <v>7473</v>
      </c>
      <c r="O84" s="16">
        <v>2612</v>
      </c>
      <c r="Q84" s="16">
        <v>47768</v>
      </c>
      <c r="S84" s="16">
        <v>0</v>
      </c>
      <c r="U84" s="16">
        <v>0</v>
      </c>
      <c r="W84" s="16">
        <v>0</v>
      </c>
      <c r="Y84" s="16">
        <v>0</v>
      </c>
      <c r="AA84" s="16">
        <v>0</v>
      </c>
      <c r="AC84" s="16">
        <v>53</v>
      </c>
      <c r="AE84" s="16">
        <f t="shared" si="2"/>
        <v>115787</v>
      </c>
    </row>
    <row r="85" spans="1:31" ht="12.75" customHeight="1">
      <c r="A85" s="1" t="s">
        <v>139</v>
      </c>
      <c r="B85" s="1"/>
      <c r="C85" s="1" t="s">
        <v>112</v>
      </c>
      <c r="E85" s="16">
        <v>2664005</v>
      </c>
      <c r="G85" s="16">
        <v>209098</v>
      </c>
      <c r="I85" s="16">
        <v>244585</v>
      </c>
      <c r="K85" s="16">
        <v>100909</v>
      </c>
      <c r="M85" s="16">
        <v>67323</v>
      </c>
      <c r="O85" s="16">
        <v>626918</v>
      </c>
      <c r="Q85" s="16">
        <v>1222896</v>
      </c>
      <c r="S85" s="16">
        <v>848210</v>
      </c>
      <c r="U85" s="16">
        <v>185206</v>
      </c>
      <c r="W85" s="16">
        <v>0</v>
      </c>
      <c r="Y85" s="16">
        <v>2189</v>
      </c>
      <c r="AA85" s="16">
        <v>363110</v>
      </c>
      <c r="AC85" s="16">
        <v>353513</v>
      </c>
      <c r="AE85" s="16">
        <f t="shared" si="2"/>
        <v>6887962</v>
      </c>
    </row>
    <row r="86" spans="1:31" ht="12.75" customHeight="1">
      <c r="A86" s="1" t="s">
        <v>466</v>
      </c>
      <c r="C86" s="1" t="s">
        <v>100</v>
      </c>
      <c r="E86" s="16">
        <v>33779</v>
      </c>
      <c r="G86" s="16">
        <v>3871</v>
      </c>
      <c r="I86" s="16">
        <v>2071</v>
      </c>
      <c r="K86" s="16">
        <v>25</v>
      </c>
      <c r="M86" s="16">
        <v>6016</v>
      </c>
      <c r="O86" s="16">
        <v>37617</v>
      </c>
      <c r="Q86" s="16">
        <v>48748</v>
      </c>
      <c r="S86" s="16">
        <v>109295</v>
      </c>
      <c r="U86" s="16">
        <v>25209</v>
      </c>
      <c r="W86" s="16">
        <v>36955</v>
      </c>
      <c r="Y86" s="16">
        <v>8951</v>
      </c>
      <c r="AA86" s="16">
        <v>9761</v>
      </c>
      <c r="AC86" s="16">
        <v>445</v>
      </c>
      <c r="AE86" s="16">
        <f t="shared" si="2"/>
        <v>322743</v>
      </c>
    </row>
    <row r="87" spans="1:31" ht="12.75" customHeight="1">
      <c r="A87" s="1" t="s">
        <v>677</v>
      </c>
      <c r="C87" s="1" t="s">
        <v>82</v>
      </c>
      <c r="E87" s="16">
        <v>19578</v>
      </c>
      <c r="G87" s="16">
        <v>26</v>
      </c>
      <c r="I87" s="16">
        <v>0</v>
      </c>
      <c r="K87" s="16">
        <v>0</v>
      </c>
      <c r="M87" s="16">
        <v>375</v>
      </c>
      <c r="O87" s="16">
        <v>5327</v>
      </c>
      <c r="Q87" s="16">
        <v>5938</v>
      </c>
      <c r="S87" s="16">
        <v>14685</v>
      </c>
      <c r="U87" s="16">
        <v>971</v>
      </c>
      <c r="W87" s="16">
        <v>0</v>
      </c>
      <c r="Y87" s="16">
        <v>0</v>
      </c>
      <c r="AA87" s="16">
        <v>0</v>
      </c>
      <c r="AC87" s="16">
        <v>0</v>
      </c>
      <c r="AE87" s="16">
        <f t="shared" si="2"/>
        <v>46900</v>
      </c>
    </row>
    <row r="88" spans="1:31" ht="12.75" customHeight="1">
      <c r="A88" s="1" t="s">
        <v>140</v>
      </c>
      <c r="B88" s="1"/>
      <c r="C88" s="1" t="s">
        <v>71</v>
      </c>
      <c r="E88" s="16">
        <v>25980</v>
      </c>
      <c r="G88" s="16">
        <v>0</v>
      </c>
      <c r="I88" s="16">
        <v>2184</v>
      </c>
      <c r="K88" s="16">
        <v>0</v>
      </c>
      <c r="M88" s="16">
        <v>0</v>
      </c>
      <c r="O88" s="16">
        <v>11402</v>
      </c>
      <c r="Q88" s="16">
        <v>63306</v>
      </c>
      <c r="S88" s="16">
        <v>0</v>
      </c>
      <c r="U88" s="16">
        <v>0</v>
      </c>
      <c r="W88" s="16">
        <v>0</v>
      </c>
      <c r="Y88" s="16">
        <v>0</v>
      </c>
      <c r="AA88" s="16">
        <v>0</v>
      </c>
      <c r="AC88" s="16">
        <v>0</v>
      </c>
      <c r="AE88" s="16">
        <f t="shared" si="2"/>
        <v>102872</v>
      </c>
    </row>
    <row r="89" spans="1:31" ht="12.75" customHeight="1">
      <c r="A89" s="1" t="s">
        <v>613</v>
      </c>
      <c r="C89" s="1" t="s">
        <v>231</v>
      </c>
      <c r="E89" s="16">
        <v>425277</v>
      </c>
      <c r="G89" s="16">
        <v>6453</v>
      </c>
      <c r="I89" s="16">
        <v>10120</v>
      </c>
      <c r="K89" s="16">
        <v>25393</v>
      </c>
      <c r="M89" s="16">
        <v>553</v>
      </c>
      <c r="O89" s="16">
        <v>89004</v>
      </c>
      <c r="Q89" s="16">
        <v>155688</v>
      </c>
      <c r="S89" s="16">
        <v>14630</v>
      </c>
      <c r="U89" s="16">
        <v>0</v>
      </c>
      <c r="W89" s="16">
        <v>30450</v>
      </c>
      <c r="Y89" s="16">
        <v>130500</v>
      </c>
      <c r="AA89" s="16">
        <v>0</v>
      </c>
      <c r="AC89" s="16">
        <v>0</v>
      </c>
      <c r="AE89" s="16">
        <f t="shared" si="2"/>
        <v>888068</v>
      </c>
    </row>
    <row r="90" spans="1:31" ht="12.75" customHeight="1">
      <c r="A90" s="1" t="s">
        <v>461</v>
      </c>
      <c r="C90" s="1" t="s">
        <v>177</v>
      </c>
      <c r="E90" s="16">
        <v>47603</v>
      </c>
      <c r="G90" s="16">
        <v>1510</v>
      </c>
      <c r="I90" s="16">
        <v>6016</v>
      </c>
      <c r="K90" s="16">
        <v>0</v>
      </c>
      <c r="M90" s="16">
        <v>17828</v>
      </c>
      <c r="O90" s="16">
        <v>7033</v>
      </c>
      <c r="Q90" s="16">
        <v>40468</v>
      </c>
      <c r="S90" s="16">
        <v>0</v>
      </c>
      <c r="U90" s="16">
        <v>0</v>
      </c>
      <c r="W90" s="16">
        <v>0</v>
      </c>
      <c r="Y90" s="16">
        <v>0</v>
      </c>
      <c r="AA90" s="16">
        <v>0</v>
      </c>
      <c r="AC90" s="16">
        <v>0</v>
      </c>
      <c r="AE90" s="16">
        <f t="shared" si="2"/>
        <v>120458</v>
      </c>
    </row>
    <row r="91" spans="1:31" ht="12.75" customHeight="1">
      <c r="A91" s="1" t="s">
        <v>760</v>
      </c>
      <c r="C91" s="1" t="s">
        <v>84</v>
      </c>
      <c r="E91" s="16">
        <v>15</v>
      </c>
      <c r="G91" s="16">
        <v>0</v>
      </c>
      <c r="I91" s="16">
        <v>7648</v>
      </c>
      <c r="K91" s="16">
        <v>0</v>
      </c>
      <c r="M91" s="16">
        <v>4956</v>
      </c>
      <c r="O91" s="16">
        <v>7435</v>
      </c>
      <c r="Q91" s="16">
        <v>23544</v>
      </c>
      <c r="S91" s="16">
        <v>0</v>
      </c>
      <c r="U91" s="16">
        <v>0</v>
      </c>
      <c r="W91" s="16">
        <v>6000</v>
      </c>
      <c r="Y91" s="16">
        <v>0</v>
      </c>
      <c r="AA91" s="16">
        <v>8580</v>
      </c>
      <c r="AC91" s="16">
        <v>0</v>
      </c>
      <c r="AE91" s="16">
        <f t="shared" si="2"/>
        <v>58178</v>
      </c>
    </row>
    <row r="92" spans="1:31" ht="12.75" customHeight="1">
      <c r="A92" s="1" t="s">
        <v>141</v>
      </c>
      <c r="B92" s="1"/>
      <c r="C92" s="1" t="s">
        <v>142</v>
      </c>
      <c r="E92" s="16">
        <v>2322</v>
      </c>
      <c r="G92" s="16">
        <v>66</v>
      </c>
      <c r="I92" s="16">
        <v>2536</v>
      </c>
      <c r="K92" s="16">
        <v>4282</v>
      </c>
      <c r="M92" s="16">
        <v>5400</v>
      </c>
      <c r="O92" s="16">
        <v>1050</v>
      </c>
      <c r="Q92" s="16">
        <v>12728</v>
      </c>
      <c r="S92" s="16">
        <v>0</v>
      </c>
      <c r="U92" s="16">
        <v>0</v>
      </c>
      <c r="W92" s="16">
        <v>0</v>
      </c>
      <c r="Y92" s="16">
        <v>0</v>
      </c>
      <c r="AA92" s="16">
        <v>0</v>
      </c>
      <c r="AC92" s="16">
        <v>0</v>
      </c>
      <c r="AE92" s="16">
        <f t="shared" si="2"/>
        <v>28384</v>
      </c>
    </row>
    <row r="93" spans="1:31" ht="12.75" customHeight="1">
      <c r="A93" s="1" t="s">
        <v>143</v>
      </c>
      <c r="B93" s="1"/>
      <c r="C93" s="1" t="s">
        <v>435</v>
      </c>
      <c r="E93" s="16">
        <v>12783</v>
      </c>
      <c r="G93" s="16">
        <v>982</v>
      </c>
      <c r="I93" s="16">
        <v>91304</v>
      </c>
      <c r="K93" s="16">
        <v>0</v>
      </c>
      <c r="M93" s="16">
        <v>735302</v>
      </c>
      <c r="O93" s="16">
        <v>2038</v>
      </c>
      <c r="Q93" s="16">
        <v>18516</v>
      </c>
      <c r="S93" s="16">
        <v>0</v>
      </c>
      <c r="U93" s="16">
        <v>0</v>
      </c>
      <c r="W93" s="16">
        <v>0</v>
      </c>
      <c r="Y93" s="16">
        <v>0</v>
      </c>
      <c r="AA93" s="16">
        <v>0</v>
      </c>
      <c r="AC93" s="16">
        <v>0</v>
      </c>
      <c r="AE93" s="16">
        <f t="shared" si="2"/>
        <v>860925</v>
      </c>
    </row>
    <row r="94" spans="1:31" ht="12.75" customHeight="1">
      <c r="A94" s="1" t="s">
        <v>144</v>
      </c>
      <c r="B94" s="1"/>
      <c r="C94" s="1" t="s">
        <v>145</v>
      </c>
      <c r="E94" s="16">
        <v>340259</v>
      </c>
      <c r="G94" s="16">
        <v>10685</v>
      </c>
      <c r="I94" s="16">
        <v>27083</v>
      </c>
      <c r="K94" s="16">
        <v>11377</v>
      </c>
      <c r="M94" s="16">
        <v>0</v>
      </c>
      <c r="O94" s="16">
        <v>174606</v>
      </c>
      <c r="Q94" s="16">
        <v>156314</v>
      </c>
      <c r="S94" s="16">
        <v>287975</v>
      </c>
      <c r="U94" s="16">
        <v>19314</v>
      </c>
      <c r="W94" s="16">
        <v>0</v>
      </c>
      <c r="Y94" s="16">
        <v>402400</v>
      </c>
      <c r="AA94" s="16">
        <v>0</v>
      </c>
      <c r="AC94" s="16">
        <v>16216</v>
      </c>
      <c r="AE94" s="16">
        <f t="shared" si="2"/>
        <v>1446229</v>
      </c>
    </row>
    <row r="95" spans="1:31" ht="12.75" customHeight="1">
      <c r="A95" s="1" t="s">
        <v>146</v>
      </c>
      <c r="B95" s="1"/>
      <c r="C95" s="1" t="s">
        <v>147</v>
      </c>
      <c r="E95" s="16">
        <v>76166</v>
      </c>
      <c r="G95" s="16">
        <v>1375</v>
      </c>
      <c r="I95" s="16">
        <v>302</v>
      </c>
      <c r="K95" s="16">
        <v>1115</v>
      </c>
      <c r="M95" s="16">
        <v>0</v>
      </c>
      <c r="O95" s="16">
        <v>87478</v>
      </c>
      <c r="Q95" s="16">
        <v>93136</v>
      </c>
      <c r="S95" s="16">
        <v>13585</v>
      </c>
      <c r="U95" s="16">
        <v>0</v>
      </c>
      <c r="W95" s="16">
        <v>0</v>
      </c>
      <c r="Y95" s="16">
        <v>11939</v>
      </c>
      <c r="AA95" s="16">
        <v>0</v>
      </c>
      <c r="AC95" s="16">
        <v>75</v>
      </c>
      <c r="AE95" s="16">
        <f t="shared" si="2"/>
        <v>285171</v>
      </c>
    </row>
    <row r="96" spans="1:31" ht="12.75" customHeight="1">
      <c r="A96" s="1" t="s">
        <v>752</v>
      </c>
      <c r="C96" s="1" t="s">
        <v>172</v>
      </c>
      <c r="E96" s="16">
        <v>1667</v>
      </c>
      <c r="G96" s="16">
        <v>385</v>
      </c>
      <c r="I96" s="16">
        <v>37</v>
      </c>
      <c r="K96" s="16">
        <v>0</v>
      </c>
      <c r="M96" s="16">
        <v>0</v>
      </c>
      <c r="O96" s="16">
        <v>1626</v>
      </c>
      <c r="Q96" s="16">
        <v>5344</v>
      </c>
      <c r="S96" s="16">
        <v>0</v>
      </c>
      <c r="U96" s="16">
        <v>0</v>
      </c>
      <c r="W96" s="16">
        <v>0</v>
      </c>
      <c r="Y96" s="16">
        <v>0</v>
      </c>
      <c r="AA96" s="16">
        <v>0</v>
      </c>
      <c r="AC96" s="16">
        <v>0</v>
      </c>
      <c r="AE96" s="16">
        <f t="shared" si="2"/>
        <v>9059</v>
      </c>
    </row>
    <row r="97" spans="1:31" ht="12.75" customHeight="1">
      <c r="A97" s="1" t="s">
        <v>557</v>
      </c>
      <c r="C97" s="1" t="s">
        <v>199</v>
      </c>
      <c r="E97" s="16">
        <v>473871</v>
      </c>
      <c r="G97" s="16">
        <v>477</v>
      </c>
      <c r="I97" s="16">
        <v>16851</v>
      </c>
      <c r="K97" s="16">
        <v>0</v>
      </c>
      <c r="M97" s="16">
        <v>19136</v>
      </c>
      <c r="O97" s="16">
        <v>137088</v>
      </c>
      <c r="Q97" s="16">
        <v>224781</v>
      </c>
      <c r="S97" s="16">
        <v>100460</v>
      </c>
      <c r="U97" s="16">
        <v>30644</v>
      </c>
      <c r="W97" s="16">
        <v>4107</v>
      </c>
      <c r="Y97" s="16">
        <v>109452</v>
      </c>
      <c r="AA97" s="16">
        <v>0</v>
      </c>
      <c r="AC97" s="16">
        <v>0</v>
      </c>
      <c r="AE97" s="16">
        <f t="shared" si="2"/>
        <v>1116867</v>
      </c>
    </row>
    <row r="98" spans="1:31" ht="12.75" customHeight="1">
      <c r="A98" s="1" t="s">
        <v>578</v>
      </c>
      <c r="C98" s="1" t="s">
        <v>133</v>
      </c>
      <c r="E98" s="16">
        <v>418721</v>
      </c>
      <c r="G98" s="16">
        <v>14452</v>
      </c>
      <c r="I98" s="16">
        <v>186834</v>
      </c>
      <c r="K98" s="16">
        <v>12194</v>
      </c>
      <c r="M98" s="16">
        <v>7811</v>
      </c>
      <c r="O98" s="16">
        <v>289895</v>
      </c>
      <c r="Q98" s="16">
        <v>310969</v>
      </c>
      <c r="S98" s="16">
        <v>37443</v>
      </c>
      <c r="U98" s="16">
        <v>20833</v>
      </c>
      <c r="W98" s="16">
        <v>9352</v>
      </c>
      <c r="Y98" s="16">
        <v>0</v>
      </c>
      <c r="AA98" s="16">
        <v>76000</v>
      </c>
      <c r="AC98" s="16">
        <v>25000</v>
      </c>
      <c r="AE98" s="16">
        <f t="shared" si="2"/>
        <v>1409504</v>
      </c>
    </row>
    <row r="99" spans="1:31" ht="12.75" customHeight="1">
      <c r="A99" s="1" t="s">
        <v>436</v>
      </c>
      <c r="C99" s="1" t="s">
        <v>104</v>
      </c>
      <c r="E99" s="16">
        <v>131669</v>
      </c>
      <c r="G99" s="16">
        <v>1197</v>
      </c>
      <c r="I99" s="16">
        <v>0</v>
      </c>
      <c r="K99" s="16">
        <v>7978</v>
      </c>
      <c r="M99" s="16">
        <v>0</v>
      </c>
      <c r="O99" s="16">
        <v>198987</v>
      </c>
      <c r="Q99" s="16">
        <v>108583</v>
      </c>
      <c r="S99" s="16">
        <v>500</v>
      </c>
      <c r="U99" s="16">
        <v>0</v>
      </c>
      <c r="W99" s="16">
        <v>0</v>
      </c>
      <c r="Y99" s="16">
        <v>0</v>
      </c>
      <c r="AA99" s="16">
        <v>0</v>
      </c>
      <c r="AC99" s="16">
        <v>860</v>
      </c>
      <c r="AE99" s="16">
        <f t="shared" si="2"/>
        <v>449774</v>
      </c>
    </row>
    <row r="100" spans="1:31" ht="12.75" customHeight="1">
      <c r="A100" s="1" t="s">
        <v>635</v>
      </c>
      <c r="C100" s="1" t="s">
        <v>268</v>
      </c>
      <c r="E100" s="16">
        <v>22506</v>
      </c>
      <c r="G100" s="16">
        <v>0</v>
      </c>
      <c r="I100" s="16">
        <v>6019</v>
      </c>
      <c r="K100" s="16">
        <v>2044</v>
      </c>
      <c r="M100" s="16">
        <v>0</v>
      </c>
      <c r="O100" s="16">
        <v>34274</v>
      </c>
      <c r="Q100" s="16">
        <v>55608</v>
      </c>
      <c r="S100" s="16">
        <v>105019</v>
      </c>
      <c r="U100" s="16">
        <v>0</v>
      </c>
      <c r="W100" s="16">
        <v>0</v>
      </c>
      <c r="Y100" s="16">
        <v>3292</v>
      </c>
      <c r="AA100" s="16">
        <v>559</v>
      </c>
      <c r="AC100" s="16">
        <v>0</v>
      </c>
      <c r="AE100" s="16">
        <f t="shared" si="2"/>
        <v>229321</v>
      </c>
    </row>
    <row r="101" spans="1:31" ht="12.75" customHeight="1">
      <c r="A101" s="1" t="s">
        <v>695</v>
      </c>
      <c r="C101" s="1" t="s">
        <v>225</v>
      </c>
      <c r="E101" s="16">
        <v>216431</v>
      </c>
      <c r="G101" s="16">
        <v>0</v>
      </c>
      <c r="I101" s="16">
        <v>0</v>
      </c>
      <c r="K101" s="16">
        <v>0</v>
      </c>
      <c r="M101" s="16">
        <v>6725</v>
      </c>
      <c r="O101" s="16">
        <v>87892</v>
      </c>
      <c r="Q101" s="16">
        <v>68684</v>
      </c>
      <c r="S101" s="16">
        <v>0</v>
      </c>
      <c r="U101" s="16">
        <v>0</v>
      </c>
      <c r="W101" s="16">
        <v>0</v>
      </c>
      <c r="Y101" s="16">
        <v>313</v>
      </c>
      <c r="AA101" s="16">
        <v>0</v>
      </c>
      <c r="AC101" s="16">
        <v>0</v>
      </c>
      <c r="AE101" s="16">
        <f t="shared" si="2"/>
        <v>380045</v>
      </c>
    </row>
    <row r="102" spans="1:31" ht="12.75" customHeight="1">
      <c r="A102" s="1" t="s">
        <v>148</v>
      </c>
      <c r="B102" s="1"/>
      <c r="C102" s="1" t="s">
        <v>149</v>
      </c>
      <c r="E102" s="16">
        <v>742025</v>
      </c>
      <c r="G102" s="16">
        <v>31096</v>
      </c>
      <c r="I102" s="16">
        <v>321393</v>
      </c>
      <c r="K102" s="16">
        <v>503501</v>
      </c>
      <c r="M102" s="16">
        <v>0</v>
      </c>
      <c r="O102" s="16">
        <v>1674997</v>
      </c>
      <c r="Q102" s="16">
        <v>1572133</v>
      </c>
      <c r="S102" s="16">
        <v>7862040</v>
      </c>
      <c r="U102" s="16">
        <v>5981200</v>
      </c>
      <c r="W102" s="16">
        <v>0</v>
      </c>
      <c r="Y102" s="16">
        <v>854476</v>
      </c>
      <c r="AA102" s="16">
        <v>0</v>
      </c>
      <c r="AC102" s="16">
        <v>27500</v>
      </c>
      <c r="AE102" s="16">
        <f t="shared" si="2"/>
        <v>19570361</v>
      </c>
    </row>
    <row r="103" spans="1:31" ht="12.75" customHeight="1">
      <c r="A103" s="1" t="s">
        <v>664</v>
      </c>
      <c r="C103" s="1" t="s">
        <v>309</v>
      </c>
      <c r="E103" s="16">
        <v>373759</v>
      </c>
      <c r="G103" s="16">
        <v>1109</v>
      </c>
      <c r="I103" s="16">
        <v>0</v>
      </c>
      <c r="K103" s="16">
        <v>3827</v>
      </c>
      <c r="M103" s="16">
        <v>8461</v>
      </c>
      <c r="O103" s="16">
        <v>148536</v>
      </c>
      <c r="Q103" s="16">
        <v>310512</v>
      </c>
      <c r="S103" s="16">
        <v>414</v>
      </c>
      <c r="U103" s="16">
        <v>0</v>
      </c>
      <c r="W103" s="16">
        <v>115</v>
      </c>
      <c r="Y103" s="16">
        <v>348914</v>
      </c>
      <c r="AA103" s="16">
        <v>0</v>
      </c>
      <c r="AC103" s="16">
        <v>1483</v>
      </c>
      <c r="AE103" s="16">
        <f aca="true" t="shared" si="3" ref="AE103:AE132">SUM(E103:AC103)</f>
        <v>1197130</v>
      </c>
    </row>
    <row r="104" spans="1:31" ht="12.75" customHeight="1">
      <c r="A104" s="1" t="s">
        <v>150</v>
      </c>
      <c r="B104" s="1"/>
      <c r="C104" s="1" t="s">
        <v>151</v>
      </c>
      <c r="E104" s="16">
        <v>643983</v>
      </c>
      <c r="G104" s="16">
        <v>43477</v>
      </c>
      <c r="I104" s="16">
        <v>110353</v>
      </c>
      <c r="K104" s="16">
        <v>52179</v>
      </c>
      <c r="M104" s="16">
        <v>346714</v>
      </c>
      <c r="O104" s="16">
        <v>136640</v>
      </c>
      <c r="Q104" s="16">
        <v>369245</v>
      </c>
      <c r="S104" s="16">
        <v>267059</v>
      </c>
      <c r="U104" s="16">
        <v>0</v>
      </c>
      <c r="W104" s="16">
        <v>0</v>
      </c>
      <c r="Y104" s="16">
        <v>886802</v>
      </c>
      <c r="AA104" s="16">
        <v>0</v>
      </c>
      <c r="AC104" s="16">
        <v>0</v>
      </c>
      <c r="AE104" s="16">
        <f t="shared" si="3"/>
        <v>2856452</v>
      </c>
    </row>
    <row r="105" spans="1:31" ht="12.75" customHeight="1">
      <c r="A105" s="1" t="s">
        <v>153</v>
      </c>
      <c r="C105" s="1" t="s">
        <v>98</v>
      </c>
      <c r="E105" s="16">
        <v>64123</v>
      </c>
      <c r="G105" s="16">
        <v>2016</v>
      </c>
      <c r="I105" s="16">
        <v>3561</v>
      </c>
      <c r="K105" s="16">
        <v>3781</v>
      </c>
      <c r="M105" s="16">
        <v>0</v>
      </c>
      <c r="O105" s="16">
        <v>116416</v>
      </c>
      <c r="Q105" s="16">
        <v>76773</v>
      </c>
      <c r="S105" s="16">
        <v>10845</v>
      </c>
      <c r="U105" s="16">
        <v>0</v>
      </c>
      <c r="W105" s="16">
        <v>19591</v>
      </c>
      <c r="Y105" s="16">
        <v>500</v>
      </c>
      <c r="AA105" s="16">
        <v>1335</v>
      </c>
      <c r="AC105" s="16">
        <v>1169</v>
      </c>
      <c r="AE105" s="16">
        <f t="shared" si="3"/>
        <v>300110</v>
      </c>
    </row>
    <row r="106" spans="1:31" ht="12.75" customHeight="1">
      <c r="A106" s="1" t="s">
        <v>152</v>
      </c>
      <c r="B106" s="1"/>
      <c r="C106" s="1" t="s">
        <v>153</v>
      </c>
      <c r="E106" s="16">
        <v>585464</v>
      </c>
      <c r="G106" s="16">
        <v>16724</v>
      </c>
      <c r="I106" s="16">
        <v>34461</v>
      </c>
      <c r="K106" s="16">
        <v>5125</v>
      </c>
      <c r="M106" s="16">
        <v>0</v>
      </c>
      <c r="O106" s="16">
        <v>285890</v>
      </c>
      <c r="Q106" s="16">
        <v>230992</v>
      </c>
      <c r="S106" s="16">
        <v>340998</v>
      </c>
      <c r="U106" s="16">
        <v>49268</v>
      </c>
      <c r="W106" s="16">
        <v>26988</v>
      </c>
      <c r="Y106" s="16">
        <v>29754</v>
      </c>
      <c r="AA106" s="16">
        <v>0</v>
      </c>
      <c r="AC106" s="16">
        <v>46500</v>
      </c>
      <c r="AE106" s="16">
        <f t="shared" si="3"/>
        <v>1652164</v>
      </c>
    </row>
    <row r="107" spans="1:31" ht="12.75" customHeight="1">
      <c r="A107" s="1" t="s">
        <v>154</v>
      </c>
      <c r="B107" s="1"/>
      <c r="C107" s="1" t="s">
        <v>155</v>
      </c>
      <c r="E107" s="16">
        <v>8649</v>
      </c>
      <c r="G107" s="16">
        <v>2340</v>
      </c>
      <c r="I107" s="16">
        <v>125</v>
      </c>
      <c r="K107" s="16">
        <v>0</v>
      </c>
      <c r="M107" s="16">
        <v>0</v>
      </c>
      <c r="O107" s="16">
        <v>9107</v>
      </c>
      <c r="Q107" s="16">
        <v>17961</v>
      </c>
      <c r="S107" s="16">
        <v>7133</v>
      </c>
      <c r="U107" s="16">
        <v>0</v>
      </c>
      <c r="W107" s="16">
        <v>0</v>
      </c>
      <c r="Y107" s="16">
        <v>3631</v>
      </c>
      <c r="AA107" s="16">
        <v>0</v>
      </c>
      <c r="AC107" s="16">
        <v>0</v>
      </c>
      <c r="AE107" s="16">
        <f t="shared" si="3"/>
        <v>48946</v>
      </c>
    </row>
    <row r="108" spans="1:31" ht="12.75" customHeight="1">
      <c r="A108" s="1" t="s">
        <v>529</v>
      </c>
      <c r="C108" s="1" t="s">
        <v>261</v>
      </c>
      <c r="E108" s="16">
        <v>117572</v>
      </c>
      <c r="G108" s="16">
        <v>970</v>
      </c>
      <c r="I108" s="16">
        <v>3529</v>
      </c>
      <c r="K108" s="16">
        <v>565</v>
      </c>
      <c r="M108" s="16">
        <v>77</v>
      </c>
      <c r="O108" s="16">
        <v>35826</v>
      </c>
      <c r="Q108" s="16">
        <v>89978</v>
      </c>
      <c r="S108" s="16">
        <v>70552</v>
      </c>
      <c r="U108" s="16">
        <v>0</v>
      </c>
      <c r="W108" s="16">
        <v>0</v>
      </c>
      <c r="Y108" s="16">
        <v>0</v>
      </c>
      <c r="AA108" s="16">
        <v>0</v>
      </c>
      <c r="AC108" s="16">
        <v>0</v>
      </c>
      <c r="AE108" s="16">
        <f t="shared" si="3"/>
        <v>319069</v>
      </c>
    </row>
    <row r="109" spans="1:31" ht="12.75" customHeight="1">
      <c r="A109" s="1" t="s">
        <v>520</v>
      </c>
      <c r="C109" s="1" t="s">
        <v>78</v>
      </c>
      <c r="E109" s="16">
        <v>8082</v>
      </c>
      <c r="G109" s="16">
        <v>0</v>
      </c>
      <c r="I109" s="16">
        <v>4660</v>
      </c>
      <c r="K109" s="16">
        <v>0</v>
      </c>
      <c r="M109" s="16">
        <v>11127</v>
      </c>
      <c r="O109" s="16">
        <v>1291</v>
      </c>
      <c r="Q109" s="16">
        <v>14728</v>
      </c>
      <c r="S109" s="16">
        <v>163</v>
      </c>
      <c r="U109" s="16">
        <v>0</v>
      </c>
      <c r="W109" s="16">
        <v>0</v>
      </c>
      <c r="Y109" s="16">
        <v>0</v>
      </c>
      <c r="AA109" s="16">
        <v>0</v>
      </c>
      <c r="AC109" s="16">
        <v>0</v>
      </c>
      <c r="AE109" s="16">
        <f t="shared" si="3"/>
        <v>40051</v>
      </c>
    </row>
    <row r="110" spans="1:31" ht="12.75" customHeight="1">
      <c r="A110" s="1" t="s">
        <v>487</v>
      </c>
      <c r="C110" s="1" t="s">
        <v>194</v>
      </c>
      <c r="E110" s="16">
        <v>8810</v>
      </c>
      <c r="G110" s="16">
        <v>2675</v>
      </c>
      <c r="I110" s="16">
        <v>299</v>
      </c>
      <c r="K110" s="16">
        <v>0</v>
      </c>
      <c r="M110" s="16">
        <v>0</v>
      </c>
      <c r="O110" s="16">
        <v>5820</v>
      </c>
      <c r="Q110" s="16">
        <v>51962</v>
      </c>
      <c r="S110" s="16">
        <v>0</v>
      </c>
      <c r="U110" s="16">
        <v>0</v>
      </c>
      <c r="W110" s="16">
        <v>0</v>
      </c>
      <c r="Y110" s="16">
        <v>0</v>
      </c>
      <c r="AA110" s="16">
        <v>0</v>
      </c>
      <c r="AC110" s="16">
        <v>3589</v>
      </c>
      <c r="AE110" s="16">
        <f t="shared" si="3"/>
        <v>73155</v>
      </c>
    </row>
    <row r="111" spans="1:31" ht="12.75" customHeight="1">
      <c r="A111" s="1" t="s">
        <v>678</v>
      </c>
      <c r="C111" s="1" t="s">
        <v>82</v>
      </c>
      <c r="E111" s="16">
        <v>1336</v>
      </c>
      <c r="G111" s="16">
        <v>633</v>
      </c>
      <c r="I111" s="16">
        <v>377</v>
      </c>
      <c r="K111" s="16">
        <v>0</v>
      </c>
      <c r="M111" s="16">
        <v>0</v>
      </c>
      <c r="O111" s="16">
        <v>4786</v>
      </c>
      <c r="Q111" s="16">
        <v>18457</v>
      </c>
      <c r="S111" s="16">
        <v>0</v>
      </c>
      <c r="U111" s="16">
        <v>0</v>
      </c>
      <c r="W111" s="16">
        <v>0</v>
      </c>
      <c r="Y111" s="16">
        <v>0</v>
      </c>
      <c r="AA111" s="16">
        <v>0</v>
      </c>
      <c r="AC111" s="16">
        <v>0</v>
      </c>
      <c r="AE111" s="16">
        <f t="shared" si="3"/>
        <v>25589</v>
      </c>
    </row>
    <row r="112" spans="1:31" ht="12.75" customHeight="1">
      <c r="A112" s="1" t="s">
        <v>156</v>
      </c>
      <c r="B112" s="1"/>
      <c r="C112" s="1" t="s">
        <v>157</v>
      </c>
      <c r="E112" s="16">
        <v>326020</v>
      </c>
      <c r="G112" s="16">
        <v>1159</v>
      </c>
      <c r="I112" s="16">
        <v>23272</v>
      </c>
      <c r="K112" s="16">
        <v>3832</v>
      </c>
      <c r="M112" s="16">
        <v>4510</v>
      </c>
      <c r="O112" s="16">
        <v>72306</v>
      </c>
      <c r="Q112" s="16">
        <v>271353</v>
      </c>
      <c r="S112" s="16">
        <v>0</v>
      </c>
      <c r="U112" s="16">
        <v>0</v>
      </c>
      <c r="W112" s="16">
        <v>0</v>
      </c>
      <c r="Y112" s="16">
        <v>275716</v>
      </c>
      <c r="AA112" s="16">
        <v>0</v>
      </c>
      <c r="AC112" s="16">
        <v>0</v>
      </c>
      <c r="AE112" s="16">
        <f t="shared" si="3"/>
        <v>978168</v>
      </c>
    </row>
    <row r="113" spans="1:31" ht="12.75" customHeight="1">
      <c r="A113" s="1" t="s">
        <v>604</v>
      </c>
      <c r="C113" s="1" t="s">
        <v>182</v>
      </c>
      <c r="E113" s="16">
        <v>124884</v>
      </c>
      <c r="G113" s="16">
        <v>1960</v>
      </c>
      <c r="I113" s="16">
        <v>500</v>
      </c>
      <c r="K113" s="16">
        <v>25708</v>
      </c>
      <c r="M113" s="16">
        <v>0</v>
      </c>
      <c r="O113" s="16">
        <v>146278</v>
      </c>
      <c r="Q113" s="16">
        <v>197604</v>
      </c>
      <c r="S113" s="16">
        <v>270551</v>
      </c>
      <c r="U113" s="16">
        <v>0</v>
      </c>
      <c r="W113" s="16">
        <v>0</v>
      </c>
      <c r="Y113" s="16">
        <v>35572</v>
      </c>
      <c r="AA113" s="16">
        <v>0</v>
      </c>
      <c r="AC113" s="16">
        <v>0</v>
      </c>
      <c r="AE113" s="16">
        <f t="shared" si="3"/>
        <v>803057</v>
      </c>
    </row>
    <row r="114" spans="1:31" ht="12.75" customHeight="1">
      <c r="A114" s="1" t="s">
        <v>550</v>
      </c>
      <c r="C114" s="1" t="s">
        <v>210</v>
      </c>
      <c r="E114" s="16">
        <v>38078</v>
      </c>
      <c r="G114" s="16">
        <v>0</v>
      </c>
      <c r="I114" s="16">
        <v>1303</v>
      </c>
      <c r="K114" s="16">
        <v>7200</v>
      </c>
      <c r="M114" s="16">
        <v>0</v>
      </c>
      <c r="O114" s="16">
        <v>1796</v>
      </c>
      <c r="Q114" s="16">
        <v>36187</v>
      </c>
      <c r="S114" s="16">
        <v>0</v>
      </c>
      <c r="U114" s="16">
        <v>3401</v>
      </c>
      <c r="W114" s="16">
        <v>1388</v>
      </c>
      <c r="Y114" s="16">
        <v>0</v>
      </c>
      <c r="AA114" s="16">
        <v>3065</v>
      </c>
      <c r="AC114" s="16">
        <v>0</v>
      </c>
      <c r="AE114" s="16">
        <f t="shared" si="3"/>
        <v>92418</v>
      </c>
    </row>
    <row r="115" spans="1:31" ht="12.75" customHeight="1">
      <c r="A115" s="1" t="s">
        <v>158</v>
      </c>
      <c r="B115" s="1"/>
      <c r="C115" s="1" t="s">
        <v>112</v>
      </c>
      <c r="E115" s="16">
        <v>2075445</v>
      </c>
      <c r="G115" s="16">
        <v>364370</v>
      </c>
      <c r="I115" s="16">
        <v>59928</v>
      </c>
      <c r="K115" s="16">
        <v>173374</v>
      </c>
      <c r="M115" s="16">
        <v>298781</v>
      </c>
      <c r="O115" s="16">
        <v>716863</v>
      </c>
      <c r="Q115" s="16">
        <v>973672</v>
      </c>
      <c r="S115" s="16">
        <v>2436170</v>
      </c>
      <c r="U115" s="16">
        <v>350000</v>
      </c>
      <c r="W115" s="16">
        <v>279495</v>
      </c>
      <c r="Y115" s="16">
        <v>1279445</v>
      </c>
      <c r="AA115" s="16">
        <v>0</v>
      </c>
      <c r="AC115" s="16">
        <v>10596</v>
      </c>
      <c r="AE115" s="16">
        <f t="shared" si="3"/>
        <v>9018139</v>
      </c>
    </row>
    <row r="116" spans="1:31" ht="12.75" customHeight="1">
      <c r="A116" s="1" t="s">
        <v>159</v>
      </c>
      <c r="B116" s="1"/>
      <c r="C116" s="1" t="s">
        <v>160</v>
      </c>
      <c r="E116" s="16">
        <v>3445</v>
      </c>
      <c r="G116" s="16">
        <v>372</v>
      </c>
      <c r="I116" s="16">
        <v>0</v>
      </c>
      <c r="K116" s="16">
        <v>0</v>
      </c>
      <c r="M116" s="16">
        <v>0</v>
      </c>
      <c r="O116" s="16">
        <v>1078</v>
      </c>
      <c r="Q116" s="16">
        <v>15116</v>
      </c>
      <c r="S116" s="16">
        <v>0</v>
      </c>
      <c r="U116" s="16">
        <v>0</v>
      </c>
      <c r="W116" s="16">
        <v>0</v>
      </c>
      <c r="Y116" s="16">
        <v>0</v>
      </c>
      <c r="AA116" s="16">
        <v>0</v>
      </c>
      <c r="AC116" s="16">
        <v>0</v>
      </c>
      <c r="AE116" s="16">
        <f t="shared" si="3"/>
        <v>20011</v>
      </c>
    </row>
    <row r="117" spans="1:31" ht="12.75" customHeight="1">
      <c r="A117" s="1" t="s">
        <v>161</v>
      </c>
      <c r="B117" s="1"/>
      <c r="C117" s="30" t="s">
        <v>162</v>
      </c>
      <c r="E117" s="16">
        <v>0</v>
      </c>
      <c r="G117" s="16">
        <v>234</v>
      </c>
      <c r="I117" s="16">
        <v>0</v>
      </c>
      <c r="K117" s="16">
        <v>0</v>
      </c>
      <c r="M117" s="16">
        <v>0</v>
      </c>
      <c r="O117" s="16">
        <v>2218</v>
      </c>
      <c r="Q117" s="16">
        <v>13000</v>
      </c>
      <c r="S117" s="16">
        <v>0</v>
      </c>
      <c r="U117" s="16">
        <v>0</v>
      </c>
      <c r="W117" s="16">
        <v>0</v>
      </c>
      <c r="Y117" s="16">
        <v>0</v>
      </c>
      <c r="AA117" s="16">
        <v>0</v>
      </c>
      <c r="AC117" s="16">
        <v>0</v>
      </c>
      <c r="AE117" s="16">
        <f t="shared" si="3"/>
        <v>15452</v>
      </c>
    </row>
    <row r="118" spans="1:31" ht="12.75" customHeight="1">
      <c r="A118" s="1" t="s">
        <v>163</v>
      </c>
      <c r="B118" s="1"/>
      <c r="C118" s="1" t="s">
        <v>164</v>
      </c>
      <c r="E118" s="16">
        <v>159321</v>
      </c>
      <c r="G118" s="16">
        <v>0</v>
      </c>
      <c r="I118" s="16">
        <v>0</v>
      </c>
      <c r="K118" s="16">
        <v>0</v>
      </c>
      <c r="M118" s="16">
        <v>5137</v>
      </c>
      <c r="O118" s="16">
        <v>0</v>
      </c>
      <c r="Q118" s="16">
        <v>98856</v>
      </c>
      <c r="S118" s="16">
        <v>246968</v>
      </c>
      <c r="U118" s="16">
        <v>16472</v>
      </c>
      <c r="W118" s="16">
        <v>0</v>
      </c>
      <c r="Y118" s="16">
        <v>5706</v>
      </c>
      <c r="AA118" s="16">
        <v>0</v>
      </c>
      <c r="AC118" s="16">
        <v>0</v>
      </c>
      <c r="AE118" s="16">
        <f t="shared" si="3"/>
        <v>532460</v>
      </c>
    </row>
    <row r="119" spans="1:31" ht="12.75" customHeight="1">
      <c r="A119" s="1" t="s">
        <v>551</v>
      </c>
      <c r="C119" s="1" t="s">
        <v>210</v>
      </c>
      <c r="E119" s="16">
        <v>23389</v>
      </c>
      <c r="G119" s="16">
        <v>0</v>
      </c>
      <c r="I119" s="16">
        <v>381</v>
      </c>
      <c r="K119" s="16">
        <v>0</v>
      </c>
      <c r="M119" s="16">
        <v>0</v>
      </c>
      <c r="O119" s="16">
        <v>15293</v>
      </c>
      <c r="Q119" s="16">
        <v>57610</v>
      </c>
      <c r="S119" s="16">
        <v>0</v>
      </c>
      <c r="U119" s="16">
        <v>0</v>
      </c>
      <c r="W119" s="16">
        <v>0</v>
      </c>
      <c r="Y119" s="16">
        <v>0</v>
      </c>
      <c r="AA119" s="16">
        <v>0</v>
      </c>
      <c r="AC119" s="16">
        <v>0</v>
      </c>
      <c r="AE119" s="16">
        <f t="shared" si="3"/>
        <v>96673</v>
      </c>
    </row>
    <row r="120" spans="1:31" ht="12.75" customHeight="1">
      <c r="A120" s="1" t="s">
        <v>665</v>
      </c>
      <c r="C120" s="1" t="s">
        <v>309</v>
      </c>
      <c r="E120" s="16">
        <v>5490</v>
      </c>
      <c r="G120" s="16">
        <v>785</v>
      </c>
      <c r="I120" s="16">
        <v>335</v>
      </c>
      <c r="K120" s="16">
        <v>1700</v>
      </c>
      <c r="M120" s="16">
        <v>13788</v>
      </c>
      <c r="O120" s="16">
        <v>22887</v>
      </c>
      <c r="Q120" s="16">
        <v>29952</v>
      </c>
      <c r="S120" s="16">
        <v>8671</v>
      </c>
      <c r="U120" s="16">
        <v>0</v>
      </c>
      <c r="W120" s="16">
        <v>0</v>
      </c>
      <c r="Y120" s="16">
        <v>0</v>
      </c>
      <c r="AA120" s="16">
        <v>0</v>
      </c>
      <c r="AC120" s="16">
        <v>6004</v>
      </c>
      <c r="AE120" s="16">
        <f t="shared" si="3"/>
        <v>89612</v>
      </c>
    </row>
    <row r="121" spans="1:31" ht="12.75" customHeight="1">
      <c r="A121" s="1" t="s">
        <v>650</v>
      </c>
      <c r="C121" s="1" t="s">
        <v>167</v>
      </c>
      <c r="E121" s="16">
        <v>5435</v>
      </c>
      <c r="G121" s="16">
        <v>2168</v>
      </c>
      <c r="I121" s="16">
        <v>1314</v>
      </c>
      <c r="K121" s="16">
        <v>8549</v>
      </c>
      <c r="M121" s="16">
        <v>2059</v>
      </c>
      <c r="O121" s="16">
        <v>6686</v>
      </c>
      <c r="Q121" s="16">
        <v>28246</v>
      </c>
      <c r="S121" s="16">
        <v>811028</v>
      </c>
      <c r="U121" s="16">
        <v>72500</v>
      </c>
      <c r="W121" s="16">
        <v>0</v>
      </c>
      <c r="Y121" s="16">
        <v>0</v>
      </c>
      <c r="AA121" s="16">
        <v>0</v>
      </c>
      <c r="AC121" s="16">
        <v>0</v>
      </c>
      <c r="AE121" s="16">
        <f t="shared" si="3"/>
        <v>937985</v>
      </c>
    </row>
    <row r="122" spans="1:31" ht="12.75" customHeight="1">
      <c r="A122" s="1" t="s">
        <v>641</v>
      </c>
      <c r="C122" s="1" t="s">
        <v>274</v>
      </c>
      <c r="E122" s="16">
        <v>49890</v>
      </c>
      <c r="G122" s="16">
        <v>0</v>
      </c>
      <c r="I122" s="16">
        <v>26521</v>
      </c>
      <c r="K122" s="16">
        <v>16956</v>
      </c>
      <c r="M122" s="16">
        <v>0</v>
      </c>
      <c r="O122" s="16">
        <v>48856</v>
      </c>
      <c r="Q122" s="16">
        <v>80412</v>
      </c>
      <c r="S122" s="16">
        <v>17045</v>
      </c>
      <c r="U122" s="16">
        <v>0</v>
      </c>
      <c r="W122" s="16">
        <v>0</v>
      </c>
      <c r="Y122" s="16">
        <v>0</v>
      </c>
      <c r="AA122" s="16">
        <v>0</v>
      </c>
      <c r="AC122" s="16">
        <v>0</v>
      </c>
      <c r="AE122" s="16">
        <f t="shared" si="3"/>
        <v>239680</v>
      </c>
    </row>
    <row r="123" spans="1:31" ht="12.75" customHeight="1">
      <c r="A123" s="1" t="s">
        <v>485</v>
      </c>
      <c r="C123" s="1" t="s">
        <v>312</v>
      </c>
      <c r="E123" s="16">
        <v>23150</v>
      </c>
      <c r="G123" s="16">
        <v>517</v>
      </c>
      <c r="I123" s="16">
        <v>11117</v>
      </c>
      <c r="K123" s="16">
        <v>0</v>
      </c>
      <c r="M123" s="16">
        <v>0</v>
      </c>
      <c r="O123" s="16">
        <v>27504</v>
      </c>
      <c r="Q123" s="16">
        <v>26599</v>
      </c>
      <c r="S123" s="16">
        <v>0</v>
      </c>
      <c r="U123" s="16">
        <v>0</v>
      </c>
      <c r="W123" s="16">
        <v>0</v>
      </c>
      <c r="Y123" s="16">
        <v>1221</v>
      </c>
      <c r="AA123" s="16">
        <v>0</v>
      </c>
      <c r="AC123" s="16">
        <v>0</v>
      </c>
      <c r="AE123" s="16">
        <f t="shared" si="3"/>
        <v>90108</v>
      </c>
    </row>
    <row r="124" spans="1:31" ht="12.75" customHeight="1">
      <c r="A124" s="1" t="s">
        <v>659</v>
      </c>
      <c r="C124" s="1" t="s">
        <v>80</v>
      </c>
      <c r="E124" s="16">
        <v>4489</v>
      </c>
      <c r="G124" s="16">
        <v>6414</v>
      </c>
      <c r="I124" s="16">
        <v>359</v>
      </c>
      <c r="K124" s="16">
        <v>0</v>
      </c>
      <c r="M124" s="16">
        <v>2466</v>
      </c>
      <c r="O124" s="16">
        <v>17008</v>
      </c>
      <c r="Q124" s="16">
        <v>29317</v>
      </c>
      <c r="S124" s="16">
        <v>10207</v>
      </c>
      <c r="U124" s="16">
        <v>4382</v>
      </c>
      <c r="W124" s="16">
        <v>999</v>
      </c>
      <c r="Y124" s="16">
        <v>0</v>
      </c>
      <c r="AA124" s="16">
        <v>2700</v>
      </c>
      <c r="AC124" s="16">
        <v>0</v>
      </c>
      <c r="AE124" s="16">
        <f t="shared" si="3"/>
        <v>78341</v>
      </c>
    </row>
    <row r="125" spans="1:31" ht="12.75" customHeight="1">
      <c r="A125" s="1" t="s">
        <v>714</v>
      </c>
      <c r="C125" s="1" t="s">
        <v>712</v>
      </c>
      <c r="E125" s="16">
        <v>6469</v>
      </c>
      <c r="G125" s="16">
        <v>0</v>
      </c>
      <c r="I125" s="16">
        <v>7457</v>
      </c>
      <c r="K125" s="16">
        <v>0</v>
      </c>
      <c r="M125" s="16">
        <v>0</v>
      </c>
      <c r="O125" s="16">
        <v>8396</v>
      </c>
      <c r="Q125" s="16">
        <v>59440</v>
      </c>
      <c r="S125" s="16">
        <v>3112</v>
      </c>
      <c r="U125" s="16">
        <v>0</v>
      </c>
      <c r="W125" s="16">
        <v>0</v>
      </c>
      <c r="Y125" s="16">
        <v>0</v>
      </c>
      <c r="AA125" s="16">
        <v>0</v>
      </c>
      <c r="AC125" s="16">
        <v>0</v>
      </c>
      <c r="AE125" s="16">
        <f t="shared" si="3"/>
        <v>84874</v>
      </c>
    </row>
    <row r="126" spans="1:31" ht="12.75" customHeight="1">
      <c r="A126" s="1" t="s">
        <v>499</v>
      </c>
      <c r="C126" s="1" t="s">
        <v>122</v>
      </c>
      <c r="E126" s="16">
        <v>13352</v>
      </c>
      <c r="G126" s="16">
        <v>0</v>
      </c>
      <c r="I126" s="16">
        <v>0</v>
      </c>
      <c r="K126" s="16">
        <v>0</v>
      </c>
      <c r="M126" s="16">
        <v>25430</v>
      </c>
      <c r="O126" s="16">
        <v>10539</v>
      </c>
      <c r="Q126" s="16">
        <v>32350</v>
      </c>
      <c r="S126" s="16">
        <v>0</v>
      </c>
      <c r="U126" s="16">
        <v>0</v>
      </c>
      <c r="W126" s="16">
        <v>0</v>
      </c>
      <c r="Y126" s="16">
        <v>0</v>
      </c>
      <c r="AA126" s="16">
        <v>0</v>
      </c>
      <c r="AC126" s="16">
        <v>0</v>
      </c>
      <c r="AE126" s="16">
        <f t="shared" si="3"/>
        <v>81671</v>
      </c>
    </row>
    <row r="127" spans="1:31" ht="12.75" customHeight="1">
      <c r="A127" s="1" t="s">
        <v>673</v>
      </c>
      <c r="C127" s="1" t="s">
        <v>215</v>
      </c>
      <c r="E127" s="16">
        <v>15573</v>
      </c>
      <c r="G127" s="16">
        <v>814</v>
      </c>
      <c r="I127" s="16">
        <v>2054</v>
      </c>
      <c r="K127" s="16">
        <v>200</v>
      </c>
      <c r="M127" s="16">
        <v>16788</v>
      </c>
      <c r="O127" s="16">
        <v>13975</v>
      </c>
      <c r="Q127" s="16">
        <v>41909</v>
      </c>
      <c r="S127" s="16">
        <v>1190123</v>
      </c>
      <c r="U127" s="16">
        <v>0</v>
      </c>
      <c r="W127" s="16">
        <v>0</v>
      </c>
      <c r="Y127" s="16">
        <v>78956</v>
      </c>
      <c r="AA127" s="16">
        <v>69419</v>
      </c>
      <c r="AC127" s="16">
        <v>0</v>
      </c>
      <c r="AE127" s="16">
        <f t="shared" si="3"/>
        <v>1429811</v>
      </c>
    </row>
    <row r="128" spans="1:31" ht="12.75" customHeight="1">
      <c r="A128" s="1" t="s">
        <v>564</v>
      </c>
      <c r="C128" s="1" t="s">
        <v>73</v>
      </c>
      <c r="E128" s="16">
        <v>575129</v>
      </c>
      <c r="G128" s="16">
        <v>2216</v>
      </c>
      <c r="I128" s="16">
        <v>52358</v>
      </c>
      <c r="K128" s="16">
        <v>14634</v>
      </c>
      <c r="M128" s="16">
        <v>0</v>
      </c>
      <c r="O128" s="16">
        <v>205475</v>
      </c>
      <c r="Q128" s="16">
        <v>230810</v>
      </c>
      <c r="S128" s="16">
        <v>405200</v>
      </c>
      <c r="U128" s="16">
        <v>0</v>
      </c>
      <c r="W128" s="16">
        <v>12975</v>
      </c>
      <c r="Y128" s="16">
        <v>9500</v>
      </c>
      <c r="AA128" s="16">
        <v>0</v>
      </c>
      <c r="AC128" s="16">
        <v>0</v>
      </c>
      <c r="AE128" s="16">
        <f t="shared" si="3"/>
        <v>1508297</v>
      </c>
    </row>
    <row r="129" spans="1:31" ht="12.75" customHeight="1">
      <c r="A129" s="1" t="s">
        <v>438</v>
      </c>
      <c r="B129" s="1"/>
      <c r="C129" s="1" t="s">
        <v>439</v>
      </c>
      <c r="E129" s="16">
        <v>3201</v>
      </c>
      <c r="G129" s="16">
        <v>774</v>
      </c>
      <c r="I129" s="16">
        <v>5184</v>
      </c>
      <c r="K129" s="16">
        <v>25</v>
      </c>
      <c r="M129" s="16">
        <v>0</v>
      </c>
      <c r="O129" s="16">
        <v>5288</v>
      </c>
      <c r="Q129" s="16">
        <v>25873</v>
      </c>
      <c r="S129" s="16">
        <v>0</v>
      </c>
      <c r="U129" s="16">
        <v>0</v>
      </c>
      <c r="W129" s="16">
        <v>0</v>
      </c>
      <c r="Y129" s="16">
        <v>0</v>
      </c>
      <c r="AA129" s="16">
        <v>0</v>
      </c>
      <c r="AC129" s="16">
        <v>0</v>
      </c>
      <c r="AE129" s="16">
        <f t="shared" si="3"/>
        <v>40345</v>
      </c>
    </row>
    <row r="130" spans="1:31" ht="12.75" customHeight="1">
      <c r="A130" s="1" t="s">
        <v>122</v>
      </c>
      <c r="B130" s="1"/>
      <c r="C130" s="1" t="s">
        <v>129</v>
      </c>
      <c r="E130" s="16">
        <v>221171</v>
      </c>
      <c r="G130" s="16">
        <v>18012</v>
      </c>
      <c r="I130" s="16">
        <v>2990</v>
      </c>
      <c r="K130" s="16">
        <v>3491</v>
      </c>
      <c r="M130" s="16">
        <v>0</v>
      </c>
      <c r="O130" s="16">
        <v>220491</v>
      </c>
      <c r="Q130" s="16">
        <v>60904</v>
      </c>
      <c r="S130" s="16">
        <v>19805</v>
      </c>
      <c r="U130" s="16">
        <v>0</v>
      </c>
      <c r="W130" s="16">
        <v>0</v>
      </c>
      <c r="Y130" s="16">
        <v>151483</v>
      </c>
      <c r="AA130" s="16">
        <v>0</v>
      </c>
      <c r="AC130" s="16">
        <v>0</v>
      </c>
      <c r="AE130" s="16">
        <f t="shared" si="3"/>
        <v>698347</v>
      </c>
    </row>
    <row r="131" spans="1:31" ht="12.75" customHeight="1">
      <c r="A131" s="1" t="s">
        <v>165</v>
      </c>
      <c r="B131" s="1"/>
      <c r="C131" s="1" t="s">
        <v>110</v>
      </c>
      <c r="E131" s="16">
        <v>3068</v>
      </c>
      <c r="G131" s="16">
        <v>100</v>
      </c>
      <c r="I131" s="16">
        <v>8993</v>
      </c>
      <c r="K131" s="16">
        <v>0</v>
      </c>
      <c r="M131" s="16">
        <v>2277</v>
      </c>
      <c r="O131" s="16">
        <v>10173</v>
      </c>
      <c r="Q131" s="16">
        <v>27103</v>
      </c>
      <c r="S131" s="16">
        <v>0</v>
      </c>
      <c r="U131" s="16">
        <v>3649</v>
      </c>
      <c r="W131" s="16">
        <v>0</v>
      </c>
      <c r="Y131" s="16">
        <v>0</v>
      </c>
      <c r="AA131" s="16">
        <v>0</v>
      </c>
      <c r="AC131" s="16">
        <v>0</v>
      </c>
      <c r="AE131" s="16">
        <f t="shared" si="3"/>
        <v>55363</v>
      </c>
    </row>
    <row r="132" spans="1:31" ht="12.75" customHeight="1">
      <c r="A132" s="16" t="s">
        <v>608</v>
      </c>
      <c r="B132" s="41"/>
      <c r="C132" s="16" t="s">
        <v>164</v>
      </c>
      <c r="D132" s="16"/>
      <c r="E132" s="16">
        <v>195916</v>
      </c>
      <c r="G132" s="16">
        <v>0</v>
      </c>
      <c r="I132" s="16">
        <v>10718</v>
      </c>
      <c r="K132" s="16">
        <v>1144</v>
      </c>
      <c r="M132" s="16">
        <v>0</v>
      </c>
      <c r="O132" s="16">
        <v>71561</v>
      </c>
      <c r="Q132" s="16">
        <v>310009</v>
      </c>
      <c r="S132" s="16">
        <v>0</v>
      </c>
      <c r="U132" s="16">
        <v>0</v>
      </c>
      <c r="W132" s="16">
        <v>0</v>
      </c>
      <c r="Y132" s="16">
        <v>0</v>
      </c>
      <c r="AA132" s="16">
        <v>0</v>
      </c>
      <c r="AC132" s="16">
        <v>0</v>
      </c>
      <c r="AE132" s="16">
        <f t="shared" si="3"/>
        <v>589348</v>
      </c>
    </row>
    <row r="133" spans="2:31" ht="12.75" customHeight="1">
      <c r="B133" s="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2"/>
      <c r="AA133" s="34"/>
      <c r="AB133" s="34"/>
      <c r="AE133" s="34" t="s">
        <v>785</v>
      </c>
    </row>
    <row r="134" spans="1:31" s="36" customFormat="1" ht="12.75" customHeight="1">
      <c r="A134" s="36" t="s">
        <v>166</v>
      </c>
      <c r="C134" s="36" t="s">
        <v>167</v>
      </c>
      <c r="E134" s="36">
        <v>527269</v>
      </c>
      <c r="G134" s="36">
        <v>14364</v>
      </c>
      <c r="I134" s="36">
        <v>0</v>
      </c>
      <c r="K134" s="36">
        <v>3734</v>
      </c>
      <c r="M134" s="36">
        <v>0</v>
      </c>
      <c r="O134" s="36">
        <v>613932</v>
      </c>
      <c r="Q134" s="36">
        <v>329379</v>
      </c>
      <c r="S134" s="36">
        <v>506186</v>
      </c>
      <c r="U134" s="36">
        <v>286308</v>
      </c>
      <c r="W134" s="36">
        <v>0</v>
      </c>
      <c r="Y134" s="36">
        <v>506245</v>
      </c>
      <c r="AA134" s="36">
        <v>0</v>
      </c>
      <c r="AC134" s="36">
        <v>19609</v>
      </c>
      <c r="AE134" s="36">
        <f aca="true" t="shared" si="4" ref="AE134:AE165">SUM(E134:AC134)</f>
        <v>2807026</v>
      </c>
    </row>
    <row r="135" spans="1:31" ht="12.75" customHeight="1">
      <c r="A135" s="1" t="s">
        <v>696</v>
      </c>
      <c r="C135" s="1" t="s">
        <v>225</v>
      </c>
      <c r="E135" s="16">
        <v>35482</v>
      </c>
      <c r="G135" s="16">
        <v>50</v>
      </c>
      <c r="I135" s="16">
        <v>0</v>
      </c>
      <c r="K135" s="16">
        <v>0</v>
      </c>
      <c r="M135" s="16">
        <v>0</v>
      </c>
      <c r="O135" s="16">
        <v>30438</v>
      </c>
      <c r="Q135" s="16">
        <v>31097</v>
      </c>
      <c r="S135" s="16">
        <v>35223</v>
      </c>
      <c r="U135" s="16">
        <v>0</v>
      </c>
      <c r="W135" s="16">
        <v>0</v>
      </c>
      <c r="Y135" s="16">
        <v>0</v>
      </c>
      <c r="AA135" s="16">
        <v>0</v>
      </c>
      <c r="AC135" s="16">
        <v>8745</v>
      </c>
      <c r="AE135" s="16">
        <f t="shared" si="4"/>
        <v>141035</v>
      </c>
    </row>
    <row r="136" spans="1:31" ht="12.75" customHeight="1">
      <c r="A136" s="1" t="s">
        <v>168</v>
      </c>
      <c r="B136" s="1"/>
      <c r="C136" s="1" t="s">
        <v>110</v>
      </c>
      <c r="E136" s="16">
        <v>329825</v>
      </c>
      <c r="G136" s="16">
        <v>362</v>
      </c>
      <c r="I136" s="16">
        <v>854942</v>
      </c>
      <c r="K136" s="16">
        <v>1722</v>
      </c>
      <c r="M136" s="16">
        <v>7601</v>
      </c>
      <c r="O136" s="16">
        <v>115709</v>
      </c>
      <c r="Q136" s="16">
        <v>172991</v>
      </c>
      <c r="S136" s="16">
        <v>2436</v>
      </c>
      <c r="U136" s="16">
        <v>723094</v>
      </c>
      <c r="W136" s="16">
        <v>49113</v>
      </c>
      <c r="Y136" s="16">
        <v>134866</v>
      </c>
      <c r="AA136" s="16">
        <v>14324</v>
      </c>
      <c r="AC136" s="16">
        <v>172370</v>
      </c>
      <c r="AE136" s="16">
        <f t="shared" si="4"/>
        <v>2579355</v>
      </c>
    </row>
    <row r="137" spans="1:31" ht="12.75" customHeight="1">
      <c r="A137" s="1" t="s">
        <v>786</v>
      </c>
      <c r="C137" s="1" t="s">
        <v>184</v>
      </c>
      <c r="E137" s="16">
        <v>31965</v>
      </c>
      <c r="G137" s="16">
        <v>2576</v>
      </c>
      <c r="I137" s="16">
        <v>5700</v>
      </c>
      <c r="K137" s="16">
        <v>123867</v>
      </c>
      <c r="M137" s="16">
        <v>0</v>
      </c>
      <c r="O137" s="16">
        <v>16849</v>
      </c>
      <c r="Q137" s="16">
        <v>67925</v>
      </c>
      <c r="S137" s="16">
        <v>0</v>
      </c>
      <c r="U137" s="16">
        <v>0</v>
      </c>
      <c r="W137" s="16">
        <v>256</v>
      </c>
      <c r="Y137" s="16">
        <v>2327</v>
      </c>
      <c r="AA137" s="16">
        <v>0</v>
      </c>
      <c r="AC137" s="16">
        <v>0</v>
      </c>
      <c r="AE137" s="16">
        <f t="shared" si="4"/>
        <v>251465</v>
      </c>
    </row>
    <row r="138" spans="1:31" ht="12.75" customHeight="1">
      <c r="A138" s="1" t="s">
        <v>169</v>
      </c>
      <c r="B138" s="1"/>
      <c r="C138" s="1" t="s">
        <v>170</v>
      </c>
      <c r="E138" s="16">
        <v>3912</v>
      </c>
      <c r="G138" s="16">
        <v>388</v>
      </c>
      <c r="I138" s="16">
        <v>0</v>
      </c>
      <c r="K138" s="16">
        <v>0</v>
      </c>
      <c r="M138" s="16">
        <v>17064</v>
      </c>
      <c r="O138" s="16">
        <v>5398</v>
      </c>
      <c r="Q138" s="16">
        <v>6520</v>
      </c>
      <c r="S138" s="16">
        <v>0</v>
      </c>
      <c r="U138" s="16">
        <v>0</v>
      </c>
      <c r="W138" s="16">
        <v>0</v>
      </c>
      <c r="Y138" s="16">
        <v>0</v>
      </c>
      <c r="AA138" s="16">
        <v>0</v>
      </c>
      <c r="AC138" s="16">
        <v>0</v>
      </c>
      <c r="AE138" s="16">
        <f t="shared" si="4"/>
        <v>33282</v>
      </c>
    </row>
    <row r="139" spans="1:31" ht="12.75" customHeight="1">
      <c r="A139" s="1" t="s">
        <v>761</v>
      </c>
      <c r="C139" s="1" t="s">
        <v>84</v>
      </c>
      <c r="E139" s="16">
        <v>1904</v>
      </c>
      <c r="G139" s="16">
        <v>4507</v>
      </c>
      <c r="I139" s="16">
        <v>250</v>
      </c>
      <c r="K139" s="16">
        <v>0</v>
      </c>
      <c r="M139" s="16">
        <v>6750</v>
      </c>
      <c r="O139" s="16">
        <v>3214</v>
      </c>
      <c r="Q139" s="16">
        <v>18604</v>
      </c>
      <c r="S139" s="16">
        <v>17695</v>
      </c>
      <c r="U139" s="16">
        <v>0</v>
      </c>
      <c r="W139" s="16">
        <v>1712</v>
      </c>
      <c r="Y139" s="16">
        <v>7456</v>
      </c>
      <c r="AA139" s="16">
        <v>2800</v>
      </c>
      <c r="AC139" s="16">
        <v>0</v>
      </c>
      <c r="AE139" s="16">
        <f t="shared" si="4"/>
        <v>64892</v>
      </c>
    </row>
    <row r="140" spans="1:31" ht="12.75" customHeight="1">
      <c r="A140" s="1" t="s">
        <v>701</v>
      </c>
      <c r="C140" s="1" t="s">
        <v>110</v>
      </c>
      <c r="E140" s="16">
        <v>159810</v>
      </c>
      <c r="G140" s="16">
        <v>0</v>
      </c>
      <c r="I140" s="16">
        <v>0</v>
      </c>
      <c r="K140" s="16">
        <v>0</v>
      </c>
      <c r="M140" s="16">
        <v>19900</v>
      </c>
      <c r="O140" s="16">
        <v>85092</v>
      </c>
      <c r="Q140" s="16">
        <v>200337</v>
      </c>
      <c r="S140" s="16">
        <v>586913</v>
      </c>
      <c r="U140" s="16">
        <v>647</v>
      </c>
      <c r="W140" s="16">
        <v>5523</v>
      </c>
      <c r="Y140" s="16">
        <v>13531</v>
      </c>
      <c r="AA140" s="16">
        <v>11750</v>
      </c>
      <c r="AC140" s="16">
        <v>0</v>
      </c>
      <c r="AE140" s="16">
        <f t="shared" si="4"/>
        <v>1083503</v>
      </c>
    </row>
    <row r="141" spans="1:31" ht="12.75" customHeight="1">
      <c r="A141" s="1" t="s">
        <v>748</v>
      </c>
      <c r="C141" s="1" t="s">
        <v>192</v>
      </c>
      <c r="E141" s="16">
        <v>109645</v>
      </c>
      <c r="G141" s="16">
        <v>6800</v>
      </c>
      <c r="I141" s="16">
        <v>0</v>
      </c>
      <c r="K141" s="16">
        <v>1585</v>
      </c>
      <c r="M141" s="16">
        <v>3470</v>
      </c>
      <c r="O141" s="16">
        <v>68887</v>
      </c>
      <c r="Q141" s="16">
        <v>108482</v>
      </c>
      <c r="S141" s="16">
        <v>157164</v>
      </c>
      <c r="U141" s="16">
        <v>0</v>
      </c>
      <c r="W141" s="16">
        <v>0</v>
      </c>
      <c r="Y141" s="16">
        <v>6246</v>
      </c>
      <c r="AA141" s="16">
        <v>0</v>
      </c>
      <c r="AC141" s="16">
        <v>0</v>
      </c>
      <c r="AE141" s="16">
        <f t="shared" si="4"/>
        <v>462279</v>
      </c>
    </row>
    <row r="142" spans="1:31" ht="12.75" customHeight="1">
      <c r="A142" s="1" t="s">
        <v>682</v>
      </c>
      <c r="C142" s="1" t="s">
        <v>179</v>
      </c>
      <c r="E142" s="16">
        <v>119923</v>
      </c>
      <c r="G142" s="16">
        <v>4799</v>
      </c>
      <c r="I142" s="16">
        <v>12020</v>
      </c>
      <c r="K142" s="16">
        <v>6476</v>
      </c>
      <c r="M142" s="16">
        <v>0</v>
      </c>
      <c r="O142" s="16">
        <v>22896</v>
      </c>
      <c r="Q142" s="16">
        <v>50674</v>
      </c>
      <c r="S142" s="16">
        <v>23568</v>
      </c>
      <c r="U142" s="16">
        <v>22718</v>
      </c>
      <c r="W142" s="16">
        <v>9754</v>
      </c>
      <c r="Y142" s="16">
        <v>7785</v>
      </c>
      <c r="AA142" s="16">
        <v>10000</v>
      </c>
      <c r="AC142" s="16">
        <v>0</v>
      </c>
      <c r="AE142" s="16">
        <f t="shared" si="4"/>
        <v>290613</v>
      </c>
    </row>
    <row r="143" spans="1:31" ht="12.75" customHeight="1">
      <c r="A143" s="1" t="s">
        <v>171</v>
      </c>
      <c r="B143" s="1"/>
      <c r="C143" s="1" t="s">
        <v>172</v>
      </c>
      <c r="E143" s="16">
        <v>3464</v>
      </c>
      <c r="G143" s="16">
        <v>0</v>
      </c>
      <c r="I143" s="16">
        <v>0</v>
      </c>
      <c r="K143" s="16">
        <v>0</v>
      </c>
      <c r="M143" s="16">
        <v>0</v>
      </c>
      <c r="O143" s="16">
        <v>0</v>
      </c>
      <c r="Q143" s="16">
        <v>29654</v>
      </c>
      <c r="S143" s="16">
        <v>0</v>
      </c>
      <c r="U143" s="16">
        <v>0</v>
      </c>
      <c r="W143" s="16">
        <v>0</v>
      </c>
      <c r="Y143" s="16">
        <v>0</v>
      </c>
      <c r="AA143" s="16">
        <v>0</v>
      </c>
      <c r="AC143" s="16">
        <v>0</v>
      </c>
      <c r="AE143" s="16">
        <f t="shared" si="4"/>
        <v>33118</v>
      </c>
    </row>
    <row r="144" spans="1:31" ht="12.75" customHeight="1">
      <c r="A144" s="1" t="s">
        <v>173</v>
      </c>
      <c r="B144" s="1"/>
      <c r="C144" s="1" t="s">
        <v>155</v>
      </c>
      <c r="E144" s="16">
        <v>563028</v>
      </c>
      <c r="G144" s="16">
        <v>0</v>
      </c>
      <c r="I144" s="16">
        <v>22056</v>
      </c>
      <c r="K144" s="16">
        <v>1060</v>
      </c>
      <c r="M144" s="16">
        <v>0</v>
      </c>
      <c r="O144" s="16">
        <v>256838</v>
      </c>
      <c r="Q144" s="16">
        <v>212947</v>
      </c>
      <c r="S144" s="16">
        <v>203425</v>
      </c>
      <c r="U144" s="16">
        <v>0</v>
      </c>
      <c r="W144" s="16">
        <v>0</v>
      </c>
      <c r="Y144" s="16">
        <v>39000</v>
      </c>
      <c r="AA144" s="16">
        <v>0</v>
      </c>
      <c r="AC144" s="16">
        <v>0</v>
      </c>
      <c r="AE144" s="16">
        <f t="shared" si="4"/>
        <v>1298354</v>
      </c>
    </row>
    <row r="145" spans="1:31" ht="12.75" customHeight="1">
      <c r="A145" s="1" t="s">
        <v>631</v>
      </c>
      <c r="C145" s="1" t="s">
        <v>378</v>
      </c>
      <c r="E145" s="16">
        <v>47420</v>
      </c>
      <c r="G145" s="16">
        <v>4552</v>
      </c>
      <c r="I145" s="16">
        <v>0</v>
      </c>
      <c r="K145" s="16">
        <v>12292</v>
      </c>
      <c r="M145" s="16">
        <v>11058</v>
      </c>
      <c r="O145" s="16">
        <v>53450</v>
      </c>
      <c r="Q145" s="16">
        <v>37645</v>
      </c>
      <c r="S145" s="16">
        <v>15</v>
      </c>
      <c r="U145" s="16">
        <v>0</v>
      </c>
      <c r="W145" s="16">
        <v>0</v>
      </c>
      <c r="Y145" s="16">
        <v>0</v>
      </c>
      <c r="AA145" s="16">
        <v>20259</v>
      </c>
      <c r="AC145" s="16">
        <v>0</v>
      </c>
      <c r="AE145" s="16">
        <f t="shared" si="4"/>
        <v>186691</v>
      </c>
    </row>
    <row r="146" spans="1:31" ht="12.75" customHeight="1">
      <c r="A146" s="1" t="s">
        <v>174</v>
      </c>
      <c r="B146" s="1"/>
      <c r="C146" s="1" t="s">
        <v>175</v>
      </c>
      <c r="E146" s="16">
        <v>205686</v>
      </c>
      <c r="G146" s="16">
        <v>52389</v>
      </c>
      <c r="I146" s="16">
        <v>20798</v>
      </c>
      <c r="K146" s="16">
        <v>4725</v>
      </c>
      <c r="M146" s="16">
        <v>0</v>
      </c>
      <c r="O146" s="16">
        <v>53057</v>
      </c>
      <c r="Q146" s="16">
        <v>238673</v>
      </c>
      <c r="S146" s="16">
        <v>350063</v>
      </c>
      <c r="U146" s="16">
        <v>127344</v>
      </c>
      <c r="W146" s="16">
        <v>0</v>
      </c>
      <c r="Y146" s="16">
        <v>230108</v>
      </c>
      <c r="AA146" s="16">
        <v>0</v>
      </c>
      <c r="AC146" s="16">
        <v>0</v>
      </c>
      <c r="AE146" s="16">
        <f t="shared" si="4"/>
        <v>1282843</v>
      </c>
    </row>
    <row r="147" spans="1:31" ht="12.75" customHeight="1">
      <c r="A147" s="1" t="s">
        <v>176</v>
      </c>
      <c r="B147" s="1"/>
      <c r="C147" s="1" t="s">
        <v>177</v>
      </c>
      <c r="E147" s="16">
        <v>266180</v>
      </c>
      <c r="G147" s="16">
        <v>87</v>
      </c>
      <c r="I147" s="16">
        <v>2912</v>
      </c>
      <c r="K147" s="16">
        <v>24479</v>
      </c>
      <c r="M147" s="16">
        <v>3319</v>
      </c>
      <c r="O147" s="16">
        <v>24645</v>
      </c>
      <c r="Q147" s="16">
        <v>77680</v>
      </c>
      <c r="S147" s="16">
        <v>58673</v>
      </c>
      <c r="U147" s="16">
        <v>58340</v>
      </c>
      <c r="W147" s="16">
        <v>0</v>
      </c>
      <c r="Y147" s="16">
        <v>1008</v>
      </c>
      <c r="AA147" s="16">
        <v>0</v>
      </c>
      <c r="AC147" s="16">
        <v>0</v>
      </c>
      <c r="AE147" s="16">
        <f t="shared" si="4"/>
        <v>517323</v>
      </c>
    </row>
    <row r="148" spans="1:31" ht="12.75" customHeight="1">
      <c r="A148" s="1" t="s">
        <v>178</v>
      </c>
      <c r="B148" s="1"/>
      <c r="C148" s="1" t="s">
        <v>179</v>
      </c>
      <c r="E148" s="16">
        <v>180770</v>
      </c>
      <c r="G148" s="16">
        <v>77629</v>
      </c>
      <c r="I148" s="16">
        <v>115819</v>
      </c>
      <c r="K148" s="16">
        <v>0</v>
      </c>
      <c r="M148" s="16">
        <v>0</v>
      </c>
      <c r="O148" s="16">
        <v>179662</v>
      </c>
      <c r="Q148" s="16">
        <v>421763</v>
      </c>
      <c r="S148" s="16">
        <v>122471</v>
      </c>
      <c r="U148" s="16">
        <v>178312</v>
      </c>
      <c r="W148" s="16">
        <v>123319</v>
      </c>
      <c r="Y148" s="16">
        <v>0</v>
      </c>
      <c r="AA148" s="16">
        <v>0</v>
      </c>
      <c r="AC148" s="16">
        <v>421292</v>
      </c>
      <c r="AE148" s="16">
        <f t="shared" si="4"/>
        <v>1821037</v>
      </c>
    </row>
    <row r="149" spans="1:31" ht="12.75" customHeight="1">
      <c r="A149" s="1" t="s">
        <v>552</v>
      </c>
      <c r="C149" s="1" t="s">
        <v>210</v>
      </c>
      <c r="E149" s="16">
        <v>30748</v>
      </c>
      <c r="G149" s="16">
        <v>3000</v>
      </c>
      <c r="I149" s="16">
        <v>324</v>
      </c>
      <c r="K149" s="16">
        <v>0</v>
      </c>
      <c r="M149" s="16">
        <v>0</v>
      </c>
      <c r="O149" s="16">
        <v>10125</v>
      </c>
      <c r="Q149" s="16">
        <v>48879</v>
      </c>
      <c r="S149" s="16">
        <v>0</v>
      </c>
      <c r="U149" s="16">
        <v>0</v>
      </c>
      <c r="W149" s="16">
        <v>7396</v>
      </c>
      <c r="Y149" s="16">
        <v>0</v>
      </c>
      <c r="AA149" s="16">
        <v>0</v>
      </c>
      <c r="AC149" s="16">
        <v>0</v>
      </c>
      <c r="AE149" s="16">
        <f t="shared" si="4"/>
        <v>100472</v>
      </c>
    </row>
    <row r="150" spans="1:31" ht="12.75" customHeight="1">
      <c r="A150" s="1" t="s">
        <v>558</v>
      </c>
      <c r="C150" s="1" t="s">
        <v>199</v>
      </c>
      <c r="E150" s="16">
        <v>12135</v>
      </c>
      <c r="G150" s="16">
        <v>1000</v>
      </c>
      <c r="I150" s="16">
        <v>1000</v>
      </c>
      <c r="K150" s="16">
        <v>0</v>
      </c>
      <c r="M150" s="16">
        <v>0</v>
      </c>
      <c r="O150" s="16">
        <v>9865</v>
      </c>
      <c r="Q150" s="16">
        <v>27874</v>
      </c>
      <c r="S150" s="16">
        <v>334</v>
      </c>
      <c r="U150" s="16">
        <v>0</v>
      </c>
      <c r="W150" s="16">
        <v>0</v>
      </c>
      <c r="Y150" s="16">
        <v>0</v>
      </c>
      <c r="AA150" s="16">
        <v>0</v>
      </c>
      <c r="AC150" s="16">
        <v>0</v>
      </c>
      <c r="AE150" s="16">
        <f t="shared" si="4"/>
        <v>52208</v>
      </c>
    </row>
    <row r="151" spans="1:31" ht="12.75" customHeight="1">
      <c r="A151" s="1" t="s">
        <v>768</v>
      </c>
      <c r="C151" s="1" t="s">
        <v>94</v>
      </c>
      <c r="E151" s="16">
        <v>1226</v>
      </c>
      <c r="G151" s="16">
        <v>364</v>
      </c>
      <c r="I151" s="16">
        <v>1207</v>
      </c>
      <c r="K151" s="16">
        <v>260</v>
      </c>
      <c r="M151" s="16">
        <v>8000</v>
      </c>
      <c r="O151" s="16">
        <v>1250</v>
      </c>
      <c r="Q151" s="16">
        <v>25718</v>
      </c>
      <c r="S151" s="16">
        <v>650</v>
      </c>
      <c r="U151" s="16">
        <v>0</v>
      </c>
      <c r="W151" s="16">
        <v>0</v>
      </c>
      <c r="Y151" s="16">
        <v>0</v>
      </c>
      <c r="AA151" s="16">
        <v>0</v>
      </c>
      <c r="AC151" s="16">
        <v>0</v>
      </c>
      <c r="AE151" s="16">
        <f t="shared" si="4"/>
        <v>38675</v>
      </c>
    </row>
    <row r="152" spans="1:31" ht="12.75" customHeight="1">
      <c r="A152" s="1" t="s">
        <v>769</v>
      </c>
      <c r="C152" s="1" t="s">
        <v>94</v>
      </c>
      <c r="E152" s="16">
        <v>23730</v>
      </c>
      <c r="G152" s="16">
        <v>0</v>
      </c>
      <c r="I152" s="16">
        <v>10167</v>
      </c>
      <c r="K152" s="16">
        <v>0</v>
      </c>
      <c r="M152" s="16">
        <v>9428</v>
      </c>
      <c r="O152" s="16">
        <v>28763</v>
      </c>
      <c r="Q152" s="16">
        <v>115075</v>
      </c>
      <c r="S152" s="16">
        <v>0</v>
      </c>
      <c r="U152" s="16">
        <v>0</v>
      </c>
      <c r="W152" s="16">
        <v>0</v>
      </c>
      <c r="Y152" s="16">
        <v>0</v>
      </c>
      <c r="AA152" s="16">
        <v>0</v>
      </c>
      <c r="AC152" s="16">
        <v>0</v>
      </c>
      <c r="AE152" s="16">
        <f t="shared" si="4"/>
        <v>187163</v>
      </c>
    </row>
    <row r="153" spans="1:31" ht="12.75" customHeight="1">
      <c r="A153" s="1" t="s">
        <v>180</v>
      </c>
      <c r="B153" s="1"/>
      <c r="C153" s="1" t="s">
        <v>84</v>
      </c>
      <c r="E153" s="16">
        <v>244297</v>
      </c>
      <c r="G153" s="16">
        <v>33088</v>
      </c>
      <c r="I153" s="16">
        <v>7951</v>
      </c>
      <c r="K153" s="16">
        <v>0</v>
      </c>
      <c r="M153" s="16">
        <v>1792</v>
      </c>
      <c r="O153" s="16">
        <v>178408</v>
      </c>
      <c r="Q153" s="16">
        <v>94946</v>
      </c>
      <c r="S153" s="16">
        <v>30227</v>
      </c>
      <c r="U153" s="16">
        <v>15800</v>
      </c>
      <c r="W153" s="16">
        <v>26645</v>
      </c>
      <c r="Y153" s="16">
        <v>52425</v>
      </c>
      <c r="AA153" s="16">
        <v>50000</v>
      </c>
      <c r="AC153" s="16">
        <v>0</v>
      </c>
      <c r="AE153" s="16">
        <f t="shared" si="4"/>
        <v>735579</v>
      </c>
    </row>
    <row r="154" spans="1:31" ht="12.75" customHeight="1">
      <c r="A154" s="1" t="s">
        <v>181</v>
      </c>
      <c r="B154" s="1"/>
      <c r="C154" s="1" t="s">
        <v>182</v>
      </c>
      <c r="E154" s="16">
        <v>121176</v>
      </c>
      <c r="G154" s="16">
        <v>720</v>
      </c>
      <c r="I154" s="16">
        <v>17145</v>
      </c>
      <c r="K154" s="16">
        <v>0</v>
      </c>
      <c r="M154" s="16">
        <v>14929</v>
      </c>
      <c r="O154" s="16">
        <v>39802</v>
      </c>
      <c r="Q154" s="16">
        <v>116330</v>
      </c>
      <c r="S154" s="16">
        <v>59514</v>
      </c>
      <c r="U154" s="16">
        <v>2240</v>
      </c>
      <c r="W154" s="16">
        <v>0</v>
      </c>
      <c r="Y154" s="16">
        <v>115010</v>
      </c>
      <c r="AA154" s="16">
        <v>0</v>
      </c>
      <c r="AC154" s="16">
        <v>0</v>
      </c>
      <c r="AE154" s="16">
        <f t="shared" si="4"/>
        <v>486866</v>
      </c>
    </row>
    <row r="155" spans="1:31" ht="12.75" customHeight="1">
      <c r="A155" s="1" t="s">
        <v>183</v>
      </c>
      <c r="B155" s="1"/>
      <c r="C155" s="1" t="s">
        <v>184</v>
      </c>
      <c r="E155" s="16">
        <v>5385</v>
      </c>
      <c r="G155" s="16">
        <v>328</v>
      </c>
      <c r="I155" s="16">
        <v>1226</v>
      </c>
      <c r="K155" s="16">
        <v>0</v>
      </c>
      <c r="M155" s="16">
        <v>0</v>
      </c>
      <c r="O155" s="16">
        <v>3981</v>
      </c>
      <c r="Q155" s="16">
        <v>18764</v>
      </c>
      <c r="S155" s="16">
        <v>0</v>
      </c>
      <c r="U155" s="16">
        <v>5000</v>
      </c>
      <c r="W155" s="16">
        <v>311</v>
      </c>
      <c r="Y155" s="16">
        <v>0</v>
      </c>
      <c r="AA155" s="16">
        <v>0</v>
      </c>
      <c r="AC155" s="16">
        <v>0</v>
      </c>
      <c r="AE155" s="16">
        <f t="shared" si="4"/>
        <v>34995</v>
      </c>
    </row>
    <row r="156" spans="1:31" ht="12.75" customHeight="1">
      <c r="A156" s="1" t="s">
        <v>185</v>
      </c>
      <c r="B156" s="1"/>
      <c r="C156" s="1" t="s">
        <v>133</v>
      </c>
      <c r="E156" s="16">
        <v>1651</v>
      </c>
      <c r="G156" s="16">
        <v>600</v>
      </c>
      <c r="I156" s="16">
        <v>0</v>
      </c>
      <c r="K156" s="16">
        <v>0</v>
      </c>
      <c r="M156" s="16">
        <v>0</v>
      </c>
      <c r="O156" s="16">
        <v>6698</v>
      </c>
      <c r="Q156" s="16">
        <v>21296</v>
      </c>
      <c r="S156" s="16">
        <v>0</v>
      </c>
      <c r="U156" s="16">
        <v>0</v>
      </c>
      <c r="W156" s="16">
        <v>0</v>
      </c>
      <c r="Y156" s="16">
        <v>0</v>
      </c>
      <c r="AA156" s="16">
        <v>0</v>
      </c>
      <c r="AC156" s="16">
        <v>0</v>
      </c>
      <c r="AE156" s="16">
        <f t="shared" si="4"/>
        <v>30245</v>
      </c>
    </row>
    <row r="157" spans="1:31" ht="12.75" customHeight="1">
      <c r="A157" s="1" t="s">
        <v>617</v>
      </c>
      <c r="C157" s="1" t="s">
        <v>369</v>
      </c>
      <c r="E157" s="16">
        <v>115208</v>
      </c>
      <c r="G157" s="16">
        <v>3966</v>
      </c>
      <c r="I157" s="16">
        <v>13999</v>
      </c>
      <c r="K157" s="16">
        <v>3389</v>
      </c>
      <c r="M157" s="16">
        <v>10220</v>
      </c>
      <c r="O157" s="16">
        <v>106812</v>
      </c>
      <c r="Q157" s="16">
        <v>145554</v>
      </c>
      <c r="S157" s="16">
        <v>0</v>
      </c>
      <c r="U157" s="16">
        <v>0</v>
      </c>
      <c r="W157" s="16">
        <v>0</v>
      </c>
      <c r="Y157" s="16">
        <v>0</v>
      </c>
      <c r="AA157" s="16">
        <v>0</v>
      </c>
      <c r="AC157" s="16">
        <v>0</v>
      </c>
      <c r="AE157" s="16">
        <f t="shared" si="4"/>
        <v>399148</v>
      </c>
    </row>
    <row r="158" spans="1:31" ht="12.75" customHeight="1">
      <c r="A158" s="1" t="s">
        <v>481</v>
      </c>
      <c r="C158" s="1" t="s">
        <v>153</v>
      </c>
      <c r="E158" s="16">
        <v>19898</v>
      </c>
      <c r="G158" s="16">
        <v>971</v>
      </c>
      <c r="I158" s="16">
        <v>0</v>
      </c>
      <c r="K158" s="16">
        <v>44</v>
      </c>
      <c r="M158" s="16">
        <v>0</v>
      </c>
      <c r="O158" s="16">
        <v>12335</v>
      </c>
      <c r="Q158" s="16">
        <v>46499</v>
      </c>
      <c r="S158" s="16">
        <v>5853</v>
      </c>
      <c r="U158" s="16">
        <v>0</v>
      </c>
      <c r="W158" s="16">
        <v>0</v>
      </c>
      <c r="Y158" s="16">
        <v>0</v>
      </c>
      <c r="AA158" s="16">
        <v>0</v>
      </c>
      <c r="AC158" s="16">
        <v>0</v>
      </c>
      <c r="AE158" s="16">
        <f t="shared" si="4"/>
        <v>85600</v>
      </c>
    </row>
    <row r="159" spans="1:31" ht="12.75" customHeight="1">
      <c r="A159" s="1" t="s">
        <v>186</v>
      </c>
      <c r="B159" s="1"/>
      <c r="C159" s="1" t="s">
        <v>87</v>
      </c>
      <c r="E159" s="16">
        <v>501273</v>
      </c>
      <c r="G159" s="16">
        <v>20722</v>
      </c>
      <c r="I159" s="16">
        <v>102861</v>
      </c>
      <c r="K159" s="16">
        <v>7990</v>
      </c>
      <c r="M159" s="16">
        <v>76050</v>
      </c>
      <c r="O159" s="16">
        <v>181671</v>
      </c>
      <c r="Q159" s="16">
        <v>200664</v>
      </c>
      <c r="S159" s="16">
        <v>228535</v>
      </c>
      <c r="U159" s="16">
        <v>136391</v>
      </c>
      <c r="W159" s="16">
        <v>0</v>
      </c>
      <c r="Y159" s="16">
        <v>39</v>
      </c>
      <c r="AA159" s="16">
        <v>0</v>
      </c>
      <c r="AC159" s="16">
        <v>100</v>
      </c>
      <c r="AE159" s="16">
        <f t="shared" si="4"/>
        <v>1456296</v>
      </c>
    </row>
    <row r="160" spans="1:31" ht="12.75" customHeight="1">
      <c r="A160" s="1" t="s">
        <v>738</v>
      </c>
      <c r="C160" s="1" t="s">
        <v>96</v>
      </c>
      <c r="E160" s="16">
        <v>582191</v>
      </c>
      <c r="G160" s="16">
        <v>658</v>
      </c>
      <c r="I160" s="16">
        <v>0</v>
      </c>
      <c r="K160" s="16">
        <v>12287</v>
      </c>
      <c r="M160" s="16">
        <v>22659</v>
      </c>
      <c r="O160" s="16">
        <v>146388</v>
      </c>
      <c r="Q160" s="16">
        <v>275727</v>
      </c>
      <c r="S160" s="16">
        <v>752311</v>
      </c>
      <c r="U160" s="16">
        <v>0</v>
      </c>
      <c r="W160" s="16">
        <v>0</v>
      </c>
      <c r="Y160" s="16">
        <v>70000</v>
      </c>
      <c r="AA160" s="16">
        <v>0</v>
      </c>
      <c r="AC160" s="16">
        <v>50</v>
      </c>
      <c r="AE160" s="16">
        <f t="shared" si="4"/>
        <v>1862271</v>
      </c>
    </row>
    <row r="161" spans="1:31" ht="12.75" customHeight="1">
      <c r="A161" s="1" t="s">
        <v>583</v>
      </c>
      <c r="C161" s="1" t="s">
        <v>239</v>
      </c>
      <c r="E161" s="16">
        <v>198943</v>
      </c>
      <c r="G161" s="16">
        <v>6000</v>
      </c>
      <c r="I161" s="16">
        <v>16450</v>
      </c>
      <c r="K161" s="16">
        <v>0</v>
      </c>
      <c r="M161" s="16">
        <v>3000</v>
      </c>
      <c r="O161" s="16">
        <v>117737</v>
      </c>
      <c r="Q161" s="16">
        <v>72381</v>
      </c>
      <c r="S161" s="16">
        <v>28245</v>
      </c>
      <c r="U161" s="16">
        <v>15000</v>
      </c>
      <c r="W161" s="16">
        <v>545</v>
      </c>
      <c r="Y161" s="16">
        <v>77349</v>
      </c>
      <c r="AA161" s="16">
        <v>0</v>
      </c>
      <c r="AC161" s="16">
        <v>1000</v>
      </c>
      <c r="AE161" s="16">
        <f t="shared" si="4"/>
        <v>536650</v>
      </c>
    </row>
    <row r="162" spans="1:31" ht="12.75" customHeight="1">
      <c r="A162" s="1" t="s">
        <v>598</v>
      </c>
      <c r="C162" s="1" t="s">
        <v>69</v>
      </c>
      <c r="E162" s="16">
        <v>77977</v>
      </c>
      <c r="G162" s="16">
        <v>15669</v>
      </c>
      <c r="I162" s="16">
        <v>12095</v>
      </c>
      <c r="K162" s="16">
        <v>22940</v>
      </c>
      <c r="M162" s="16">
        <v>0</v>
      </c>
      <c r="O162" s="16">
        <v>29095</v>
      </c>
      <c r="Q162" s="16">
        <v>51694</v>
      </c>
      <c r="S162" s="16">
        <v>149829</v>
      </c>
      <c r="U162" s="16">
        <v>3058</v>
      </c>
      <c r="W162" s="16">
        <v>725</v>
      </c>
      <c r="Y162" s="16">
        <v>5467</v>
      </c>
      <c r="AA162" s="16">
        <v>0</v>
      </c>
      <c r="AC162" s="16">
        <v>0</v>
      </c>
      <c r="AE162" s="16">
        <f t="shared" si="4"/>
        <v>368549</v>
      </c>
    </row>
    <row r="163" spans="1:31" ht="12.75" customHeight="1">
      <c r="A163" s="1" t="s">
        <v>187</v>
      </c>
      <c r="B163" s="1"/>
      <c r="C163" s="1" t="s">
        <v>84</v>
      </c>
      <c r="E163" s="16">
        <v>398302</v>
      </c>
      <c r="G163" s="16">
        <v>75737</v>
      </c>
      <c r="I163" s="16">
        <v>73945</v>
      </c>
      <c r="K163" s="16">
        <v>236386</v>
      </c>
      <c r="M163" s="16">
        <v>0</v>
      </c>
      <c r="O163" s="16">
        <v>244998</v>
      </c>
      <c r="Q163" s="16">
        <v>820166</v>
      </c>
      <c r="S163" s="16">
        <v>0</v>
      </c>
      <c r="U163" s="16">
        <v>0</v>
      </c>
      <c r="W163" s="16">
        <v>0</v>
      </c>
      <c r="Y163" s="16">
        <v>0</v>
      </c>
      <c r="AA163" s="16">
        <v>0</v>
      </c>
      <c r="AC163" s="16">
        <v>0</v>
      </c>
      <c r="AE163" s="16">
        <f t="shared" si="4"/>
        <v>1849534</v>
      </c>
    </row>
    <row r="164" spans="1:31" ht="12.75" customHeight="1">
      <c r="A164" s="1" t="s">
        <v>668</v>
      </c>
      <c r="C164" s="1" t="s">
        <v>67</v>
      </c>
      <c r="E164" s="16">
        <v>306731</v>
      </c>
      <c r="G164" s="16">
        <v>41123</v>
      </c>
      <c r="I164" s="16">
        <v>11226</v>
      </c>
      <c r="K164" s="16">
        <v>0</v>
      </c>
      <c r="M164" s="16">
        <v>0</v>
      </c>
      <c r="O164" s="16">
        <v>203036</v>
      </c>
      <c r="Q164" s="16">
        <v>121215</v>
      </c>
      <c r="S164" s="16">
        <v>5861</v>
      </c>
      <c r="U164" s="16">
        <v>300638</v>
      </c>
      <c r="W164" s="16">
        <v>67989</v>
      </c>
      <c r="Y164" s="16">
        <v>55827</v>
      </c>
      <c r="AA164" s="16">
        <v>27756</v>
      </c>
      <c r="AC164" s="16">
        <v>0</v>
      </c>
      <c r="AE164" s="16">
        <f t="shared" si="4"/>
        <v>1141402</v>
      </c>
    </row>
    <row r="165" spans="1:31" ht="12.75" customHeight="1">
      <c r="A165" s="1" t="s">
        <v>575</v>
      </c>
      <c r="C165" s="1" t="s">
        <v>65</v>
      </c>
      <c r="E165" s="16">
        <v>10438</v>
      </c>
      <c r="G165" s="16">
        <v>8804</v>
      </c>
      <c r="I165" s="16">
        <v>13946</v>
      </c>
      <c r="K165" s="16">
        <v>381</v>
      </c>
      <c r="M165" s="16">
        <v>21888</v>
      </c>
      <c r="O165" s="16">
        <v>41113</v>
      </c>
      <c r="Q165" s="16">
        <v>80748</v>
      </c>
      <c r="S165" s="16">
        <v>0</v>
      </c>
      <c r="U165" s="16">
        <v>0</v>
      </c>
      <c r="W165" s="16">
        <v>0</v>
      </c>
      <c r="Y165" s="16">
        <v>0</v>
      </c>
      <c r="AA165" s="16">
        <v>0</v>
      </c>
      <c r="AC165" s="16">
        <v>0</v>
      </c>
      <c r="AE165" s="16">
        <f t="shared" si="4"/>
        <v>177318</v>
      </c>
    </row>
    <row r="166" spans="1:31" ht="12.75" customHeight="1">
      <c r="A166" s="1" t="s">
        <v>702</v>
      </c>
      <c r="C166" s="1" t="s">
        <v>110</v>
      </c>
      <c r="E166" s="16">
        <v>2681</v>
      </c>
      <c r="G166" s="16">
        <v>866</v>
      </c>
      <c r="I166" s="16">
        <v>4050</v>
      </c>
      <c r="K166" s="16">
        <v>0</v>
      </c>
      <c r="M166" s="16">
        <v>5261</v>
      </c>
      <c r="O166" s="16">
        <v>30806</v>
      </c>
      <c r="Q166" s="16">
        <v>35231</v>
      </c>
      <c r="S166" s="16">
        <v>0</v>
      </c>
      <c r="U166" s="16">
        <v>0</v>
      </c>
      <c r="W166" s="16">
        <v>0</v>
      </c>
      <c r="Y166" s="16">
        <v>0</v>
      </c>
      <c r="AA166" s="16">
        <v>0</v>
      </c>
      <c r="AC166" s="16">
        <v>3372</v>
      </c>
      <c r="AE166" s="16">
        <f aca="true" t="shared" si="5" ref="AE166:AE195">SUM(E166:AC166)</f>
        <v>82267</v>
      </c>
    </row>
    <row r="167" spans="1:31" ht="12.75" customHeight="1">
      <c r="A167" s="1" t="s">
        <v>188</v>
      </c>
      <c r="B167" s="1"/>
      <c r="C167" s="1" t="s">
        <v>106</v>
      </c>
      <c r="E167" s="16">
        <v>244876</v>
      </c>
      <c r="G167" s="16">
        <v>5200</v>
      </c>
      <c r="I167" s="16">
        <v>5995</v>
      </c>
      <c r="K167" s="16">
        <v>2064</v>
      </c>
      <c r="M167" s="16">
        <v>5627</v>
      </c>
      <c r="O167" s="16">
        <v>0</v>
      </c>
      <c r="Q167" s="16">
        <v>273942</v>
      </c>
      <c r="S167" s="16">
        <v>418251</v>
      </c>
      <c r="U167" s="16">
        <v>0</v>
      </c>
      <c r="W167" s="16">
        <v>0</v>
      </c>
      <c r="Y167" s="16">
        <v>1255</v>
      </c>
      <c r="AA167" s="16">
        <v>0</v>
      </c>
      <c r="AC167" s="16">
        <v>0</v>
      </c>
      <c r="AE167" s="16">
        <f t="shared" si="5"/>
        <v>957210</v>
      </c>
    </row>
    <row r="168" spans="1:31" ht="12.75" customHeight="1">
      <c r="A168" s="1" t="s">
        <v>729</v>
      </c>
      <c r="C168" s="1" t="s">
        <v>106</v>
      </c>
      <c r="E168" s="16">
        <v>43845</v>
      </c>
      <c r="G168" s="16">
        <v>15865</v>
      </c>
      <c r="I168" s="16">
        <v>51828</v>
      </c>
      <c r="K168" s="16">
        <v>0</v>
      </c>
      <c r="M168" s="16">
        <v>0</v>
      </c>
      <c r="O168" s="16">
        <v>102441</v>
      </c>
      <c r="Q168" s="16">
        <v>82712</v>
      </c>
      <c r="S168" s="16">
        <v>33715</v>
      </c>
      <c r="U168" s="16">
        <v>8205</v>
      </c>
      <c r="W168" s="16">
        <v>186</v>
      </c>
      <c r="Y168" s="16">
        <v>9177</v>
      </c>
      <c r="AA168" s="16">
        <v>0</v>
      </c>
      <c r="AC168" s="16">
        <v>0</v>
      </c>
      <c r="AE168" s="16">
        <f t="shared" si="5"/>
        <v>347974</v>
      </c>
    </row>
    <row r="169" spans="1:31" ht="12.75" customHeight="1">
      <c r="A169" s="1" t="s">
        <v>189</v>
      </c>
      <c r="B169" s="1"/>
      <c r="C169" s="1" t="s">
        <v>190</v>
      </c>
      <c r="E169" s="16">
        <v>318295</v>
      </c>
      <c r="G169" s="16">
        <v>9929</v>
      </c>
      <c r="I169" s="16">
        <v>45333</v>
      </c>
      <c r="K169" s="16">
        <v>0</v>
      </c>
      <c r="M169" s="16">
        <v>0</v>
      </c>
      <c r="O169" s="16">
        <v>165259</v>
      </c>
      <c r="Q169" s="16">
        <v>207629</v>
      </c>
      <c r="S169" s="16">
        <v>459250</v>
      </c>
      <c r="U169" s="16">
        <v>0</v>
      </c>
      <c r="W169" s="16">
        <v>0</v>
      </c>
      <c r="Y169" s="16">
        <v>267910</v>
      </c>
      <c r="AA169" s="16">
        <v>0</v>
      </c>
      <c r="AC169" s="16">
        <v>2000</v>
      </c>
      <c r="AE169" s="16">
        <f t="shared" si="5"/>
        <v>1475605</v>
      </c>
    </row>
    <row r="170" spans="1:31" ht="12.75" customHeight="1">
      <c r="A170" s="1" t="s">
        <v>666</v>
      </c>
      <c r="C170" s="1" t="s">
        <v>309</v>
      </c>
      <c r="E170" s="16">
        <v>24046</v>
      </c>
      <c r="G170" s="16">
        <v>0</v>
      </c>
      <c r="I170" s="16">
        <v>0</v>
      </c>
      <c r="K170" s="16">
        <v>8143</v>
      </c>
      <c r="M170" s="16">
        <v>2167</v>
      </c>
      <c r="O170" s="16">
        <v>46050</v>
      </c>
      <c r="Q170" s="16">
        <v>49230</v>
      </c>
      <c r="S170" s="16">
        <v>0</v>
      </c>
      <c r="U170" s="16">
        <v>0</v>
      </c>
      <c r="W170" s="16">
        <v>0</v>
      </c>
      <c r="Y170" s="16">
        <v>0</v>
      </c>
      <c r="AA170" s="16">
        <v>0</v>
      </c>
      <c r="AC170" s="16">
        <v>0</v>
      </c>
      <c r="AE170" s="16">
        <f t="shared" si="5"/>
        <v>129636</v>
      </c>
    </row>
    <row r="171" spans="1:31" ht="12.75" customHeight="1">
      <c r="A171" s="1" t="s">
        <v>766</v>
      </c>
      <c r="C171" s="1" t="s">
        <v>190</v>
      </c>
      <c r="E171" s="16">
        <v>130991</v>
      </c>
      <c r="G171" s="16">
        <v>4995</v>
      </c>
      <c r="I171" s="16">
        <v>26112</v>
      </c>
      <c r="K171" s="16">
        <v>0</v>
      </c>
      <c r="M171" s="16">
        <v>0</v>
      </c>
      <c r="O171" s="16">
        <v>104081</v>
      </c>
      <c r="Q171" s="16">
        <v>83761</v>
      </c>
      <c r="S171" s="16">
        <v>264964</v>
      </c>
      <c r="U171" s="16">
        <v>0</v>
      </c>
      <c r="W171" s="16">
        <v>0</v>
      </c>
      <c r="Y171" s="16">
        <v>0</v>
      </c>
      <c r="AA171" s="16">
        <v>9000</v>
      </c>
      <c r="AC171" s="16">
        <v>3721</v>
      </c>
      <c r="AE171" s="16">
        <f t="shared" si="5"/>
        <v>627625</v>
      </c>
    </row>
    <row r="172" spans="1:31" ht="12.75" customHeight="1">
      <c r="A172" s="1" t="s">
        <v>697</v>
      </c>
      <c r="C172" s="1" t="s">
        <v>225</v>
      </c>
      <c r="E172" s="16">
        <v>12429</v>
      </c>
      <c r="G172" s="16">
        <v>966</v>
      </c>
      <c r="I172" s="16">
        <v>2684</v>
      </c>
      <c r="K172" s="16">
        <v>136</v>
      </c>
      <c r="M172" s="16">
        <v>31744</v>
      </c>
      <c r="O172" s="16">
        <v>4090</v>
      </c>
      <c r="Q172" s="16">
        <v>74969</v>
      </c>
      <c r="S172" s="16">
        <v>114783</v>
      </c>
      <c r="U172" s="16">
        <v>0</v>
      </c>
      <c r="W172" s="16">
        <v>0</v>
      </c>
      <c r="Y172" s="16">
        <v>21136</v>
      </c>
      <c r="AA172" s="16">
        <v>0</v>
      </c>
      <c r="AC172" s="16">
        <v>0</v>
      </c>
      <c r="AE172" s="16">
        <f t="shared" si="5"/>
        <v>262937</v>
      </c>
    </row>
    <row r="173" spans="1:31" ht="12.75" customHeight="1">
      <c r="A173" s="1" t="s">
        <v>191</v>
      </c>
      <c r="B173" s="1"/>
      <c r="C173" s="1" t="s">
        <v>192</v>
      </c>
      <c r="E173" s="16">
        <v>1663</v>
      </c>
      <c r="G173" s="16">
        <v>4256</v>
      </c>
      <c r="I173" s="16">
        <v>1916</v>
      </c>
      <c r="K173" s="16">
        <v>0</v>
      </c>
      <c r="M173" s="16">
        <v>0</v>
      </c>
      <c r="O173" s="16">
        <v>9446</v>
      </c>
      <c r="Q173" s="16">
        <v>10647</v>
      </c>
      <c r="S173" s="16">
        <v>0</v>
      </c>
      <c r="U173" s="16">
        <v>0</v>
      </c>
      <c r="W173" s="16">
        <v>0</v>
      </c>
      <c r="Y173" s="16">
        <v>0</v>
      </c>
      <c r="AA173" s="16">
        <v>0</v>
      </c>
      <c r="AC173" s="16">
        <v>0</v>
      </c>
      <c r="AE173" s="16">
        <f t="shared" si="5"/>
        <v>27928</v>
      </c>
    </row>
    <row r="174" spans="1:31" ht="12.75" customHeight="1">
      <c r="A174" s="1" t="s">
        <v>448</v>
      </c>
      <c r="C174" s="1" t="s">
        <v>447</v>
      </c>
      <c r="E174" s="16">
        <v>125865</v>
      </c>
      <c r="G174" s="16">
        <v>12881</v>
      </c>
      <c r="I174" s="16">
        <v>0</v>
      </c>
      <c r="K174" s="16">
        <v>800</v>
      </c>
      <c r="M174" s="16">
        <v>100</v>
      </c>
      <c r="O174" s="16">
        <v>53176</v>
      </c>
      <c r="Q174" s="16">
        <v>92479</v>
      </c>
      <c r="S174" s="16">
        <v>51068</v>
      </c>
      <c r="U174" s="16">
        <v>0</v>
      </c>
      <c r="W174" s="16">
        <v>0</v>
      </c>
      <c r="Y174" s="16">
        <v>0</v>
      </c>
      <c r="AA174" s="16">
        <v>0</v>
      </c>
      <c r="AC174" s="16">
        <v>0</v>
      </c>
      <c r="AE174" s="16">
        <f t="shared" si="5"/>
        <v>336369</v>
      </c>
    </row>
    <row r="175" spans="1:31" ht="12.75" customHeight="1">
      <c r="A175" s="1" t="s">
        <v>674</v>
      </c>
      <c r="C175" s="1" t="s">
        <v>215</v>
      </c>
      <c r="E175" s="16">
        <v>283893</v>
      </c>
      <c r="G175" s="16">
        <v>3392</v>
      </c>
      <c r="I175" s="16">
        <v>13884</v>
      </c>
      <c r="K175" s="16">
        <v>10062</v>
      </c>
      <c r="M175" s="16">
        <v>125892</v>
      </c>
      <c r="O175" s="16">
        <v>121456</v>
      </c>
      <c r="Q175" s="16">
        <v>167260</v>
      </c>
      <c r="S175" s="16">
        <v>4918</v>
      </c>
      <c r="U175" s="16">
        <v>0</v>
      </c>
      <c r="W175" s="16">
        <v>0</v>
      </c>
      <c r="Y175" s="16">
        <v>0</v>
      </c>
      <c r="AA175" s="16">
        <v>0</v>
      </c>
      <c r="AC175" s="16">
        <v>72</v>
      </c>
      <c r="AE175" s="16">
        <f t="shared" si="5"/>
        <v>730829</v>
      </c>
    </row>
    <row r="176" spans="1:31" ht="12.75" customHeight="1">
      <c r="A176" s="1" t="s">
        <v>565</v>
      </c>
      <c r="C176" s="1" t="s">
        <v>73</v>
      </c>
      <c r="E176" s="16">
        <v>473660</v>
      </c>
      <c r="G176" s="16">
        <v>1426</v>
      </c>
      <c r="I176" s="16">
        <v>15654</v>
      </c>
      <c r="K176" s="16">
        <v>0</v>
      </c>
      <c r="M176" s="16">
        <v>82252</v>
      </c>
      <c r="O176" s="16">
        <v>60284</v>
      </c>
      <c r="Q176" s="16">
        <v>363709</v>
      </c>
      <c r="S176" s="16">
        <v>0</v>
      </c>
      <c r="U176" s="16">
        <v>0</v>
      </c>
      <c r="W176" s="16">
        <v>0</v>
      </c>
      <c r="Y176" s="16">
        <v>0</v>
      </c>
      <c r="AA176" s="16">
        <v>0</v>
      </c>
      <c r="AC176" s="16">
        <v>6000</v>
      </c>
      <c r="AE176" s="16">
        <f t="shared" si="5"/>
        <v>1002985</v>
      </c>
    </row>
    <row r="177" spans="1:31" ht="12.75" customHeight="1">
      <c r="A177" s="1" t="s">
        <v>599</v>
      </c>
      <c r="C177" s="1" t="s">
        <v>69</v>
      </c>
      <c r="E177" s="16">
        <v>41985</v>
      </c>
      <c r="G177" s="16">
        <v>1445</v>
      </c>
      <c r="I177" s="16">
        <v>5628</v>
      </c>
      <c r="K177" s="16">
        <v>0</v>
      </c>
      <c r="M177" s="16">
        <v>0</v>
      </c>
      <c r="O177" s="16">
        <v>5773</v>
      </c>
      <c r="Q177" s="16">
        <v>29769</v>
      </c>
      <c r="S177" s="16">
        <v>0</v>
      </c>
      <c r="U177" s="16">
        <v>3000</v>
      </c>
      <c r="W177" s="16">
        <v>385</v>
      </c>
      <c r="Y177" s="16">
        <v>0</v>
      </c>
      <c r="AA177" s="16">
        <v>0</v>
      </c>
      <c r="AC177" s="16">
        <v>0</v>
      </c>
      <c r="AE177" s="16">
        <f t="shared" si="5"/>
        <v>87985</v>
      </c>
    </row>
    <row r="178" spans="1:31" ht="12.75" customHeight="1">
      <c r="A178" s="1" t="s">
        <v>193</v>
      </c>
      <c r="B178" s="1"/>
      <c r="C178" s="1" t="s">
        <v>194</v>
      </c>
      <c r="E178" s="16">
        <v>108467</v>
      </c>
      <c r="G178" s="16">
        <v>40000</v>
      </c>
      <c r="I178" s="16">
        <v>1995</v>
      </c>
      <c r="K178" s="16">
        <v>0</v>
      </c>
      <c r="M178" s="16">
        <v>0</v>
      </c>
      <c r="O178" s="16">
        <v>54779</v>
      </c>
      <c r="Q178" s="16">
        <v>291174</v>
      </c>
      <c r="S178" s="16">
        <v>167608</v>
      </c>
      <c r="U178" s="16">
        <v>0</v>
      </c>
      <c r="W178" s="16">
        <v>0</v>
      </c>
      <c r="Y178" s="16">
        <v>0</v>
      </c>
      <c r="AA178" s="16">
        <v>0</v>
      </c>
      <c r="AC178" s="16">
        <v>0</v>
      </c>
      <c r="AE178" s="16">
        <f t="shared" si="5"/>
        <v>664023</v>
      </c>
    </row>
    <row r="179" spans="1:31" ht="12.75" customHeight="1">
      <c r="A179" s="1" t="s">
        <v>195</v>
      </c>
      <c r="B179" s="1"/>
      <c r="C179" s="1" t="s">
        <v>73</v>
      </c>
      <c r="E179" s="16">
        <v>4844894</v>
      </c>
      <c r="G179" s="16">
        <v>15737</v>
      </c>
      <c r="I179" s="16">
        <v>1454070</v>
      </c>
      <c r="K179" s="16">
        <v>968791</v>
      </c>
      <c r="M179" s="16">
        <v>166941</v>
      </c>
      <c r="O179" s="16">
        <v>708843</v>
      </c>
      <c r="Q179" s="16">
        <v>1900365</v>
      </c>
      <c r="S179" s="16">
        <v>681279</v>
      </c>
      <c r="U179" s="16">
        <v>225000</v>
      </c>
      <c r="W179" s="16">
        <v>57510</v>
      </c>
      <c r="Y179" s="16">
        <v>1339410</v>
      </c>
      <c r="AA179" s="16">
        <v>0</v>
      </c>
      <c r="AC179" s="16">
        <v>0</v>
      </c>
      <c r="AE179" s="16">
        <f t="shared" si="5"/>
        <v>12362840</v>
      </c>
    </row>
    <row r="180" spans="1:31" ht="12.75" customHeight="1">
      <c r="A180" s="1" t="s">
        <v>566</v>
      </c>
      <c r="C180" s="1" t="s">
        <v>73</v>
      </c>
      <c r="E180" s="16">
        <v>1070374</v>
      </c>
      <c r="G180" s="16">
        <v>3614</v>
      </c>
      <c r="I180" s="16">
        <v>65899</v>
      </c>
      <c r="K180" s="16">
        <v>25218</v>
      </c>
      <c r="M180" s="16">
        <v>138439</v>
      </c>
      <c r="O180" s="16">
        <v>367621</v>
      </c>
      <c r="Q180" s="16">
        <v>812531</v>
      </c>
      <c r="S180" s="16">
        <v>2389162</v>
      </c>
      <c r="U180" s="16">
        <v>0</v>
      </c>
      <c r="W180" s="16">
        <v>0</v>
      </c>
      <c r="Y180" s="16">
        <v>630173</v>
      </c>
      <c r="AA180" s="16">
        <v>95314</v>
      </c>
      <c r="AC180" s="16">
        <v>0</v>
      </c>
      <c r="AE180" s="16">
        <f t="shared" si="5"/>
        <v>5598345</v>
      </c>
    </row>
    <row r="181" spans="1:31" ht="12.75" customHeight="1">
      <c r="A181" s="1" t="s">
        <v>196</v>
      </c>
      <c r="B181" s="1"/>
      <c r="C181" s="1" t="s">
        <v>197</v>
      </c>
      <c r="E181" s="16">
        <v>901728</v>
      </c>
      <c r="G181" s="16">
        <v>16273</v>
      </c>
      <c r="I181" s="16">
        <v>1493</v>
      </c>
      <c r="K181" s="16">
        <v>19927</v>
      </c>
      <c r="M181" s="16">
        <v>0</v>
      </c>
      <c r="O181" s="16">
        <v>324373</v>
      </c>
      <c r="Q181" s="16">
        <v>1732343</v>
      </c>
      <c r="S181" s="16">
        <v>88498</v>
      </c>
      <c r="U181" s="16">
        <v>147347</v>
      </c>
      <c r="W181" s="16">
        <v>69709</v>
      </c>
      <c r="Y181" s="16">
        <v>62462</v>
      </c>
      <c r="AA181" s="16">
        <v>70000</v>
      </c>
      <c r="AC181" s="16">
        <v>0</v>
      </c>
      <c r="AE181" s="16">
        <f t="shared" si="5"/>
        <v>3434153</v>
      </c>
    </row>
    <row r="182" spans="1:31" ht="12.75" customHeight="1">
      <c r="A182" s="1" t="s">
        <v>198</v>
      </c>
      <c r="B182" s="1"/>
      <c r="C182" s="1" t="s">
        <v>199</v>
      </c>
      <c r="E182" s="16">
        <v>3381</v>
      </c>
      <c r="G182" s="16">
        <v>3237</v>
      </c>
      <c r="I182" s="16">
        <v>0</v>
      </c>
      <c r="K182" s="16">
        <v>0</v>
      </c>
      <c r="M182" s="16">
        <v>185</v>
      </c>
      <c r="O182" s="16">
        <v>3082</v>
      </c>
      <c r="Q182" s="16">
        <v>10377</v>
      </c>
      <c r="S182" s="16">
        <v>0</v>
      </c>
      <c r="U182" s="16">
        <v>0</v>
      </c>
      <c r="W182" s="16">
        <v>0</v>
      </c>
      <c r="Y182" s="16">
        <v>0</v>
      </c>
      <c r="AA182" s="16">
        <v>0</v>
      </c>
      <c r="AC182" s="16">
        <v>0</v>
      </c>
      <c r="AE182" s="16">
        <f t="shared" si="5"/>
        <v>20262</v>
      </c>
    </row>
    <row r="183" spans="1:31" ht="12.75" customHeight="1">
      <c r="A183" s="1" t="s">
        <v>662</v>
      </c>
      <c r="C183" s="1" t="s">
        <v>217</v>
      </c>
      <c r="E183" s="16">
        <v>84600</v>
      </c>
      <c r="G183" s="16">
        <v>0</v>
      </c>
      <c r="I183" s="16">
        <v>0</v>
      </c>
      <c r="K183" s="16">
        <v>0</v>
      </c>
      <c r="M183" s="16">
        <v>11295</v>
      </c>
      <c r="O183" s="16">
        <v>130974</v>
      </c>
      <c r="Q183" s="16">
        <v>137279</v>
      </c>
      <c r="S183" s="16">
        <v>12438</v>
      </c>
      <c r="U183" s="16">
        <v>0</v>
      </c>
      <c r="W183" s="16">
        <v>10235</v>
      </c>
      <c r="Y183" s="16">
        <v>16650</v>
      </c>
      <c r="AA183" s="16">
        <v>16650</v>
      </c>
      <c r="AC183" s="16">
        <v>0</v>
      </c>
      <c r="AE183" s="16">
        <f t="shared" si="5"/>
        <v>420121</v>
      </c>
    </row>
    <row r="184" spans="1:31" ht="12.75" customHeight="1">
      <c r="A184" s="1" t="s">
        <v>200</v>
      </c>
      <c r="B184" s="1"/>
      <c r="C184" s="1" t="s">
        <v>87</v>
      </c>
      <c r="E184" s="16">
        <v>205372</v>
      </c>
      <c r="G184" s="16">
        <v>0</v>
      </c>
      <c r="I184" s="16">
        <v>64975</v>
      </c>
      <c r="K184" s="16">
        <v>4637</v>
      </c>
      <c r="M184" s="16">
        <v>0</v>
      </c>
      <c r="O184" s="16">
        <v>91901</v>
      </c>
      <c r="Q184" s="16">
        <v>232178</v>
      </c>
      <c r="S184" s="16">
        <v>90337</v>
      </c>
      <c r="U184" s="16">
        <v>9708</v>
      </c>
      <c r="W184" s="16">
        <v>4740</v>
      </c>
      <c r="Y184" s="16">
        <v>0</v>
      </c>
      <c r="AA184" s="16">
        <v>0</v>
      </c>
      <c r="AC184" s="16">
        <v>57517</v>
      </c>
      <c r="AE184" s="16">
        <f t="shared" si="5"/>
        <v>761365</v>
      </c>
    </row>
    <row r="185" spans="1:31" ht="12.75" customHeight="1">
      <c r="A185" s="1" t="s">
        <v>473</v>
      </c>
      <c r="C185" s="1" t="s">
        <v>246</v>
      </c>
      <c r="E185" s="16">
        <v>91115</v>
      </c>
      <c r="G185" s="16">
        <v>0</v>
      </c>
      <c r="I185" s="16">
        <v>8504</v>
      </c>
      <c r="K185" s="16">
        <v>1480</v>
      </c>
      <c r="M185" s="16">
        <v>0</v>
      </c>
      <c r="O185" s="16">
        <v>23808</v>
      </c>
      <c r="Q185" s="16">
        <v>66748</v>
      </c>
      <c r="S185" s="16">
        <v>0</v>
      </c>
      <c r="U185" s="16">
        <v>5600</v>
      </c>
      <c r="W185" s="16">
        <v>296</v>
      </c>
      <c r="Y185" s="16">
        <v>0</v>
      </c>
      <c r="AA185" s="16">
        <v>0</v>
      </c>
      <c r="AC185" s="16">
        <v>0</v>
      </c>
      <c r="AE185" s="16">
        <f t="shared" si="5"/>
        <v>197551</v>
      </c>
    </row>
    <row r="186" spans="1:31" ht="12.75" customHeight="1">
      <c r="A186" s="1" t="s">
        <v>201</v>
      </c>
      <c r="B186" s="1"/>
      <c r="C186" s="1" t="s">
        <v>102</v>
      </c>
      <c r="E186" s="16">
        <v>133746</v>
      </c>
      <c r="G186" s="16">
        <v>1311</v>
      </c>
      <c r="I186" s="16">
        <v>459</v>
      </c>
      <c r="K186" s="16">
        <v>4572</v>
      </c>
      <c r="M186" s="16">
        <v>2983</v>
      </c>
      <c r="O186" s="16">
        <v>56479</v>
      </c>
      <c r="Q186" s="16">
        <v>66422</v>
      </c>
      <c r="S186" s="16">
        <v>92370</v>
      </c>
      <c r="U186" s="16">
        <v>0</v>
      </c>
      <c r="W186" s="16">
        <v>0</v>
      </c>
      <c r="Y186" s="16">
        <v>0</v>
      </c>
      <c r="AA186" s="16">
        <v>0</v>
      </c>
      <c r="AC186" s="16">
        <v>491</v>
      </c>
      <c r="AE186" s="16">
        <f t="shared" si="5"/>
        <v>358833</v>
      </c>
    </row>
    <row r="187" spans="1:31" ht="12.75" customHeight="1">
      <c r="A187" s="1" t="s">
        <v>654</v>
      </c>
      <c r="C187" s="1" t="s">
        <v>155</v>
      </c>
      <c r="E187" s="16">
        <v>40774</v>
      </c>
      <c r="G187" s="16">
        <v>0</v>
      </c>
      <c r="I187" s="16">
        <v>735</v>
      </c>
      <c r="K187" s="16">
        <v>0</v>
      </c>
      <c r="M187" s="16">
        <v>0</v>
      </c>
      <c r="O187" s="16">
        <v>13194</v>
      </c>
      <c r="Q187" s="16">
        <v>27341</v>
      </c>
      <c r="S187" s="16">
        <v>0</v>
      </c>
      <c r="U187" s="16">
        <v>0</v>
      </c>
      <c r="W187" s="16">
        <v>0</v>
      </c>
      <c r="Y187" s="16">
        <v>0</v>
      </c>
      <c r="AA187" s="16">
        <v>0</v>
      </c>
      <c r="AC187" s="16">
        <v>5374</v>
      </c>
      <c r="AE187" s="16">
        <f t="shared" si="5"/>
        <v>87418</v>
      </c>
    </row>
    <row r="188" spans="1:31" ht="12.75" customHeight="1">
      <c r="A188" s="1" t="s">
        <v>584</v>
      </c>
      <c r="C188" s="1" t="s">
        <v>239</v>
      </c>
      <c r="E188" s="16">
        <v>3094</v>
      </c>
      <c r="G188" s="16">
        <v>0</v>
      </c>
      <c r="I188" s="16">
        <v>2299</v>
      </c>
      <c r="K188" s="16">
        <v>0</v>
      </c>
      <c r="M188" s="16">
        <v>782</v>
      </c>
      <c r="O188" s="16">
        <v>6364</v>
      </c>
      <c r="Q188" s="16">
        <v>23486</v>
      </c>
      <c r="S188" s="16">
        <v>0</v>
      </c>
      <c r="U188" s="16">
        <v>0</v>
      </c>
      <c r="W188" s="16">
        <v>0</v>
      </c>
      <c r="Y188" s="16">
        <v>0</v>
      </c>
      <c r="AA188" s="16">
        <v>0</v>
      </c>
      <c r="AC188" s="16">
        <v>0</v>
      </c>
      <c r="AE188" s="16">
        <f t="shared" si="5"/>
        <v>36025</v>
      </c>
    </row>
    <row r="189" spans="1:31" ht="12.75" customHeight="1">
      <c r="A189" s="1" t="s">
        <v>467</v>
      </c>
      <c r="C189" s="1" t="s">
        <v>100</v>
      </c>
      <c r="E189" s="16">
        <v>74049</v>
      </c>
      <c r="G189" s="16">
        <v>2635</v>
      </c>
      <c r="I189" s="16">
        <v>8376</v>
      </c>
      <c r="K189" s="16">
        <v>0</v>
      </c>
      <c r="M189" s="16">
        <v>52092</v>
      </c>
      <c r="O189" s="16">
        <v>35437</v>
      </c>
      <c r="Q189" s="16">
        <v>21991</v>
      </c>
      <c r="S189" s="16">
        <v>28694</v>
      </c>
      <c r="U189" s="16">
        <v>0</v>
      </c>
      <c r="W189" s="16">
        <v>52638</v>
      </c>
      <c r="Y189" s="16">
        <v>0</v>
      </c>
      <c r="AA189" s="16">
        <v>65625</v>
      </c>
      <c r="AC189" s="16">
        <v>0</v>
      </c>
      <c r="AE189" s="16">
        <f t="shared" si="5"/>
        <v>341537</v>
      </c>
    </row>
    <row r="190" spans="1:31" ht="12.75" customHeight="1">
      <c r="A190" s="1" t="s">
        <v>202</v>
      </c>
      <c r="B190" s="1"/>
      <c r="C190" s="1" t="s">
        <v>65</v>
      </c>
      <c r="E190" s="16">
        <v>230629</v>
      </c>
      <c r="G190" s="16">
        <v>16534</v>
      </c>
      <c r="I190" s="16">
        <v>52490</v>
      </c>
      <c r="K190" s="16">
        <v>2033</v>
      </c>
      <c r="M190" s="16">
        <v>0</v>
      </c>
      <c r="O190" s="16">
        <v>67100</v>
      </c>
      <c r="Q190" s="16">
        <v>102332</v>
      </c>
      <c r="S190" s="16">
        <v>0</v>
      </c>
      <c r="U190" s="16">
        <v>17548</v>
      </c>
      <c r="W190" s="16">
        <v>0</v>
      </c>
      <c r="Y190" s="16">
        <v>76593</v>
      </c>
      <c r="AA190" s="16">
        <v>0</v>
      </c>
      <c r="AC190" s="16">
        <v>0</v>
      </c>
      <c r="AE190" s="16">
        <f t="shared" si="5"/>
        <v>565259</v>
      </c>
    </row>
    <row r="191" spans="1:31" ht="12.75" customHeight="1">
      <c r="A191" s="1" t="s">
        <v>703</v>
      </c>
      <c r="C191" s="1" t="s">
        <v>110</v>
      </c>
      <c r="E191" s="16">
        <v>39740</v>
      </c>
      <c r="G191" s="16">
        <v>0</v>
      </c>
      <c r="I191" s="16">
        <v>37347</v>
      </c>
      <c r="K191" s="16">
        <v>0</v>
      </c>
      <c r="M191" s="16">
        <v>2591</v>
      </c>
      <c r="O191" s="16">
        <v>39250</v>
      </c>
      <c r="Q191" s="16">
        <v>47624</v>
      </c>
      <c r="S191" s="16">
        <v>56266</v>
      </c>
      <c r="U191" s="16">
        <v>0</v>
      </c>
      <c r="W191" s="16">
        <v>0</v>
      </c>
      <c r="Y191" s="16">
        <v>0</v>
      </c>
      <c r="AA191" s="16">
        <v>130000</v>
      </c>
      <c r="AC191" s="16">
        <v>0</v>
      </c>
      <c r="AE191" s="16">
        <f t="shared" si="5"/>
        <v>352818</v>
      </c>
    </row>
    <row r="192" spans="1:31" ht="12.75" customHeight="1">
      <c r="A192" s="1" t="s">
        <v>727</v>
      </c>
      <c r="C192" s="1" t="s">
        <v>131</v>
      </c>
      <c r="E192" s="16">
        <v>120074</v>
      </c>
      <c r="G192" s="16">
        <v>5600</v>
      </c>
      <c r="I192" s="16">
        <v>21670</v>
      </c>
      <c r="K192" s="16">
        <v>10500</v>
      </c>
      <c r="M192" s="16">
        <v>66097</v>
      </c>
      <c r="O192" s="16">
        <v>83923</v>
      </c>
      <c r="Q192" s="16">
        <v>240496</v>
      </c>
      <c r="S192" s="16">
        <v>726791</v>
      </c>
      <c r="U192" s="16">
        <v>3358</v>
      </c>
      <c r="W192" s="16">
        <v>4372</v>
      </c>
      <c r="Y192" s="16">
        <v>0</v>
      </c>
      <c r="AA192" s="16">
        <v>80046</v>
      </c>
      <c r="AC192" s="16">
        <v>0</v>
      </c>
      <c r="AE192" s="16">
        <f t="shared" si="5"/>
        <v>1362927</v>
      </c>
    </row>
    <row r="193" spans="1:31" ht="12.75" customHeight="1">
      <c r="A193" s="1" t="s">
        <v>203</v>
      </c>
      <c r="B193" s="1"/>
      <c r="C193" s="1" t="s">
        <v>167</v>
      </c>
      <c r="E193" s="16">
        <v>115648</v>
      </c>
      <c r="G193" s="16">
        <v>23777</v>
      </c>
      <c r="I193" s="16">
        <v>48963</v>
      </c>
      <c r="K193" s="16">
        <v>127</v>
      </c>
      <c r="M193" s="16">
        <v>100</v>
      </c>
      <c r="O193" s="16">
        <v>112875</v>
      </c>
      <c r="Q193" s="16">
        <v>166565</v>
      </c>
      <c r="S193" s="16">
        <v>145759</v>
      </c>
      <c r="U193" s="16">
        <v>35063</v>
      </c>
      <c r="W193" s="16">
        <v>15405</v>
      </c>
      <c r="Y193" s="16">
        <v>324</v>
      </c>
      <c r="AA193" s="16">
        <v>0</v>
      </c>
      <c r="AC193" s="16">
        <v>3380</v>
      </c>
      <c r="AE193" s="16">
        <f t="shared" si="5"/>
        <v>667986</v>
      </c>
    </row>
    <row r="194" spans="1:31" ht="12.75" customHeight="1">
      <c r="A194" s="1" t="s">
        <v>204</v>
      </c>
      <c r="B194" s="1"/>
      <c r="C194" s="1" t="s">
        <v>126</v>
      </c>
      <c r="E194" s="16">
        <v>260766</v>
      </c>
      <c r="G194" s="16">
        <v>17089</v>
      </c>
      <c r="I194" s="16">
        <v>5273</v>
      </c>
      <c r="K194" s="16">
        <v>2664</v>
      </c>
      <c r="M194" s="16">
        <v>0</v>
      </c>
      <c r="O194" s="16">
        <v>127589</v>
      </c>
      <c r="Q194" s="16">
        <v>106418</v>
      </c>
      <c r="S194" s="16">
        <v>93993</v>
      </c>
      <c r="U194" s="16">
        <v>5000</v>
      </c>
      <c r="W194" s="16">
        <v>3868</v>
      </c>
      <c r="Y194" s="16">
        <v>1738</v>
      </c>
      <c r="AA194" s="16">
        <v>0</v>
      </c>
      <c r="AC194" s="16">
        <v>2066</v>
      </c>
      <c r="AE194" s="16">
        <f t="shared" si="5"/>
        <v>626464</v>
      </c>
    </row>
    <row r="195" spans="1:31" ht="12.75" customHeight="1">
      <c r="A195" s="1" t="s">
        <v>715</v>
      </c>
      <c r="C195" s="1" t="s">
        <v>712</v>
      </c>
      <c r="E195" s="16">
        <v>16301</v>
      </c>
      <c r="G195" s="16">
        <v>0</v>
      </c>
      <c r="I195" s="16">
        <v>3883</v>
      </c>
      <c r="K195" s="16">
        <v>0</v>
      </c>
      <c r="M195" s="16">
        <v>4376</v>
      </c>
      <c r="O195" s="16">
        <v>11490</v>
      </c>
      <c r="Q195" s="16">
        <v>59016</v>
      </c>
      <c r="S195" s="16">
        <v>133027</v>
      </c>
      <c r="U195" s="16">
        <v>0</v>
      </c>
      <c r="W195" s="16">
        <v>0</v>
      </c>
      <c r="Y195" s="16">
        <v>23457</v>
      </c>
      <c r="AA195" s="16">
        <v>0</v>
      </c>
      <c r="AC195" s="16">
        <v>0</v>
      </c>
      <c r="AE195" s="16">
        <f t="shared" si="5"/>
        <v>251550</v>
      </c>
    </row>
    <row r="196" spans="2:31" ht="12.75" customHeight="1">
      <c r="B196" s="1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2"/>
      <c r="AA196" s="34"/>
      <c r="AB196" s="34"/>
      <c r="AE196" s="34" t="s">
        <v>785</v>
      </c>
    </row>
    <row r="197" spans="1:31" s="36" customFormat="1" ht="12.75" customHeight="1">
      <c r="A197" s="36" t="s">
        <v>669</v>
      </c>
      <c r="B197" s="42"/>
      <c r="C197" s="36" t="s">
        <v>67</v>
      </c>
      <c r="E197" s="36">
        <v>170709</v>
      </c>
      <c r="G197" s="36">
        <v>0</v>
      </c>
      <c r="I197" s="36">
        <v>31319</v>
      </c>
      <c r="K197" s="36">
        <v>0</v>
      </c>
      <c r="M197" s="36">
        <v>1175376</v>
      </c>
      <c r="O197" s="36">
        <v>32539</v>
      </c>
      <c r="Q197" s="36">
        <v>113872</v>
      </c>
      <c r="S197" s="36">
        <v>0</v>
      </c>
      <c r="U197" s="36">
        <v>0</v>
      </c>
      <c r="W197" s="36">
        <v>0</v>
      </c>
      <c r="Y197" s="36">
        <v>9185</v>
      </c>
      <c r="AA197" s="36">
        <v>276</v>
      </c>
      <c r="AC197" s="36">
        <v>7450</v>
      </c>
      <c r="AE197" s="36">
        <f aca="true" t="shared" si="6" ref="AE197:AE228">SUM(E197:AC197)</f>
        <v>1540726</v>
      </c>
    </row>
    <row r="198" spans="1:31" ht="12.75" customHeight="1">
      <c r="A198" s="1" t="s">
        <v>205</v>
      </c>
      <c r="B198" s="1"/>
      <c r="C198" s="1" t="s">
        <v>84</v>
      </c>
      <c r="E198" s="16">
        <v>49245</v>
      </c>
      <c r="G198" s="16">
        <v>1449</v>
      </c>
      <c r="I198" s="16">
        <v>1575</v>
      </c>
      <c r="K198" s="16">
        <v>20620</v>
      </c>
      <c r="M198" s="16">
        <v>34074</v>
      </c>
      <c r="O198" s="16">
        <v>0</v>
      </c>
      <c r="Q198" s="16">
        <v>0</v>
      </c>
      <c r="S198" s="16">
        <v>0</v>
      </c>
      <c r="U198" s="16">
        <v>0</v>
      </c>
      <c r="W198" s="16">
        <v>0</v>
      </c>
      <c r="Y198" s="16">
        <v>0</v>
      </c>
      <c r="AA198" s="16">
        <v>0</v>
      </c>
      <c r="AC198" s="16">
        <v>0</v>
      </c>
      <c r="AE198" s="16">
        <f t="shared" si="6"/>
        <v>106963</v>
      </c>
    </row>
    <row r="199" spans="1:31" ht="12.75" customHeight="1">
      <c r="A199" s="1" t="s">
        <v>206</v>
      </c>
      <c r="B199" s="1"/>
      <c r="C199" s="1" t="s">
        <v>182</v>
      </c>
      <c r="E199" s="16">
        <v>252322</v>
      </c>
      <c r="G199" s="16">
        <v>1763</v>
      </c>
      <c r="I199" s="16">
        <v>0</v>
      </c>
      <c r="K199" s="16">
        <v>2313</v>
      </c>
      <c r="M199" s="16">
        <v>6683</v>
      </c>
      <c r="O199" s="16">
        <v>178626</v>
      </c>
      <c r="Q199" s="16">
        <v>279416</v>
      </c>
      <c r="S199" s="16">
        <v>13513</v>
      </c>
      <c r="U199" s="16">
        <v>0</v>
      </c>
      <c r="W199" s="16">
        <v>0</v>
      </c>
      <c r="Y199" s="16">
        <v>1500</v>
      </c>
      <c r="AA199" s="16">
        <v>0</v>
      </c>
      <c r="AC199" s="16">
        <v>0</v>
      </c>
      <c r="AE199" s="16">
        <f t="shared" si="6"/>
        <v>736136</v>
      </c>
    </row>
    <row r="200" spans="1:31" ht="12.75" customHeight="1">
      <c r="A200" s="1" t="s">
        <v>207</v>
      </c>
      <c r="B200" s="1"/>
      <c r="C200" s="1" t="s">
        <v>133</v>
      </c>
      <c r="E200" s="16">
        <v>2414</v>
      </c>
      <c r="G200" s="16">
        <v>0</v>
      </c>
      <c r="I200" s="16">
        <v>0</v>
      </c>
      <c r="K200" s="16">
        <v>0</v>
      </c>
      <c r="M200" s="16">
        <v>201</v>
      </c>
      <c r="O200" s="16">
        <v>7482</v>
      </c>
      <c r="Q200" s="16">
        <v>97049</v>
      </c>
      <c r="S200" s="16">
        <v>0</v>
      </c>
      <c r="U200" s="16">
        <v>0</v>
      </c>
      <c r="W200" s="16">
        <v>0</v>
      </c>
      <c r="Y200" s="16">
        <v>0</v>
      </c>
      <c r="AA200" s="16">
        <v>0</v>
      </c>
      <c r="AC200" s="16">
        <v>0</v>
      </c>
      <c r="AE200" s="16">
        <f t="shared" si="6"/>
        <v>107146</v>
      </c>
    </row>
    <row r="201" spans="1:31" ht="12.75" customHeight="1">
      <c r="A201" s="1" t="s">
        <v>87</v>
      </c>
      <c r="C201" s="1" t="s">
        <v>309</v>
      </c>
      <c r="E201" s="16">
        <v>3067</v>
      </c>
      <c r="G201" s="16">
        <v>53</v>
      </c>
      <c r="I201" s="16">
        <v>0</v>
      </c>
      <c r="K201" s="16">
        <v>0</v>
      </c>
      <c r="M201" s="16">
        <v>0</v>
      </c>
      <c r="O201" s="16">
        <v>9515</v>
      </c>
      <c r="Q201" s="16">
        <v>42865</v>
      </c>
      <c r="S201" s="16">
        <v>0</v>
      </c>
      <c r="U201" s="16">
        <v>0</v>
      </c>
      <c r="W201" s="16">
        <v>0</v>
      </c>
      <c r="Y201" s="16">
        <v>0</v>
      </c>
      <c r="AA201" s="16">
        <v>0</v>
      </c>
      <c r="AC201" s="16">
        <v>0</v>
      </c>
      <c r="AE201" s="16">
        <f t="shared" si="6"/>
        <v>55500</v>
      </c>
    </row>
    <row r="202" spans="1:31" ht="12.75" customHeight="1">
      <c r="A202" s="1" t="s">
        <v>208</v>
      </c>
      <c r="B202" s="1"/>
      <c r="C202" s="1" t="s">
        <v>67</v>
      </c>
      <c r="E202" s="16">
        <v>1521</v>
      </c>
      <c r="G202" s="16">
        <v>0</v>
      </c>
      <c r="I202" s="16">
        <v>0</v>
      </c>
      <c r="K202" s="16">
        <v>0</v>
      </c>
      <c r="M202" s="16">
        <v>215</v>
      </c>
      <c r="O202" s="16">
        <v>0</v>
      </c>
      <c r="Q202" s="16">
        <v>8220</v>
      </c>
      <c r="S202" s="16">
        <v>0</v>
      </c>
      <c r="U202" s="16">
        <v>0</v>
      </c>
      <c r="W202" s="16">
        <v>0</v>
      </c>
      <c r="Y202" s="16">
        <v>0</v>
      </c>
      <c r="AA202" s="16">
        <v>0</v>
      </c>
      <c r="AC202" s="16">
        <v>0</v>
      </c>
      <c r="AE202" s="16">
        <f t="shared" si="6"/>
        <v>9956</v>
      </c>
    </row>
    <row r="203" spans="1:31" ht="12.75" customHeight="1">
      <c r="A203" s="1" t="s">
        <v>526</v>
      </c>
      <c r="C203" s="1" t="s">
        <v>90</v>
      </c>
      <c r="E203" s="16">
        <v>109812</v>
      </c>
      <c r="G203" s="16">
        <v>500</v>
      </c>
      <c r="I203" s="16">
        <v>13674</v>
      </c>
      <c r="K203" s="16">
        <v>13755</v>
      </c>
      <c r="M203" s="16">
        <v>0</v>
      </c>
      <c r="O203" s="16">
        <v>86980</v>
      </c>
      <c r="Q203" s="16">
        <v>136401</v>
      </c>
      <c r="S203" s="16">
        <v>0</v>
      </c>
      <c r="U203" s="16">
        <v>0</v>
      </c>
      <c r="W203" s="16">
        <v>0</v>
      </c>
      <c r="Y203" s="16">
        <v>0</v>
      </c>
      <c r="AA203" s="16">
        <v>0</v>
      </c>
      <c r="AC203" s="16">
        <v>0</v>
      </c>
      <c r="AE203" s="16">
        <f t="shared" si="6"/>
        <v>361122</v>
      </c>
    </row>
    <row r="204" spans="1:31" ht="12.75" customHeight="1">
      <c r="A204" s="1" t="s">
        <v>209</v>
      </c>
      <c r="B204" s="1"/>
      <c r="C204" s="1" t="s">
        <v>210</v>
      </c>
      <c r="E204" s="16">
        <v>946387</v>
      </c>
      <c r="G204" s="16">
        <v>109255</v>
      </c>
      <c r="I204" s="16">
        <v>62286</v>
      </c>
      <c r="K204" s="16">
        <v>85277</v>
      </c>
      <c r="M204" s="16">
        <v>0</v>
      </c>
      <c r="O204" s="16">
        <v>317292</v>
      </c>
      <c r="Q204" s="16">
        <v>1288428</v>
      </c>
      <c r="S204" s="16">
        <v>553512</v>
      </c>
      <c r="U204" s="16">
        <v>321236</v>
      </c>
      <c r="W204" s="16">
        <v>86177</v>
      </c>
      <c r="Y204" s="16">
        <v>367198</v>
      </c>
      <c r="AA204" s="16">
        <v>197267</v>
      </c>
      <c r="AC204" s="16">
        <v>0</v>
      </c>
      <c r="AE204" s="16">
        <f t="shared" si="6"/>
        <v>4334315</v>
      </c>
    </row>
    <row r="205" spans="1:31" ht="12.75" customHeight="1">
      <c r="A205" s="1" t="s">
        <v>211</v>
      </c>
      <c r="B205" s="1"/>
      <c r="C205" s="1" t="s">
        <v>182</v>
      </c>
      <c r="E205" s="16">
        <v>119412</v>
      </c>
      <c r="G205" s="16">
        <v>2501</v>
      </c>
      <c r="I205" s="16">
        <v>4407</v>
      </c>
      <c r="K205" s="16">
        <v>4813</v>
      </c>
      <c r="M205" s="16">
        <v>40000</v>
      </c>
      <c r="O205" s="16">
        <v>22500</v>
      </c>
      <c r="Q205" s="16">
        <v>330278</v>
      </c>
      <c r="S205" s="16">
        <v>71951</v>
      </c>
      <c r="U205" s="16">
        <v>0</v>
      </c>
      <c r="W205" s="16">
        <v>0</v>
      </c>
      <c r="Y205" s="16">
        <v>105450</v>
      </c>
      <c r="AA205" s="16">
        <v>0</v>
      </c>
      <c r="AC205" s="16">
        <v>0</v>
      </c>
      <c r="AE205" s="16">
        <f t="shared" si="6"/>
        <v>701312</v>
      </c>
    </row>
    <row r="206" spans="1:31" ht="12.75" customHeight="1">
      <c r="A206" s="1" t="s">
        <v>605</v>
      </c>
      <c r="C206" s="1" t="s">
        <v>182</v>
      </c>
      <c r="E206" s="16">
        <v>3246</v>
      </c>
      <c r="G206" s="16">
        <v>0</v>
      </c>
      <c r="I206" s="16">
        <v>2177</v>
      </c>
      <c r="K206" s="16">
        <v>0</v>
      </c>
      <c r="M206" s="16">
        <v>430</v>
      </c>
      <c r="O206" s="16">
        <v>12404</v>
      </c>
      <c r="Q206" s="16">
        <v>6286</v>
      </c>
      <c r="S206" s="16">
        <v>0</v>
      </c>
      <c r="U206" s="16">
        <v>0</v>
      </c>
      <c r="W206" s="16">
        <v>0</v>
      </c>
      <c r="Y206" s="16">
        <v>0</v>
      </c>
      <c r="AA206" s="16">
        <v>0</v>
      </c>
      <c r="AC206" s="16">
        <v>214</v>
      </c>
      <c r="AE206" s="16">
        <f t="shared" si="6"/>
        <v>24757</v>
      </c>
    </row>
    <row r="207" spans="1:31" ht="12.75" customHeight="1">
      <c r="A207" s="1" t="s">
        <v>212</v>
      </c>
      <c r="B207" s="1"/>
      <c r="C207" s="1" t="s">
        <v>137</v>
      </c>
      <c r="E207" s="16">
        <v>701279</v>
      </c>
      <c r="G207" s="16">
        <v>39287</v>
      </c>
      <c r="I207" s="16">
        <v>57920</v>
      </c>
      <c r="K207" s="16">
        <v>13787</v>
      </c>
      <c r="M207" s="16">
        <v>3436</v>
      </c>
      <c r="O207" s="16">
        <v>256089</v>
      </c>
      <c r="Q207" s="16">
        <v>306107</v>
      </c>
      <c r="S207" s="16">
        <v>135319</v>
      </c>
      <c r="U207" s="16">
        <v>13000</v>
      </c>
      <c r="W207" s="16">
        <v>10200</v>
      </c>
      <c r="Y207" s="16">
        <v>0</v>
      </c>
      <c r="AA207" s="16">
        <v>0</v>
      </c>
      <c r="AC207" s="16">
        <v>1354</v>
      </c>
      <c r="AE207" s="16">
        <f t="shared" si="6"/>
        <v>1537778</v>
      </c>
    </row>
    <row r="208" spans="1:31" ht="12.75" customHeight="1">
      <c r="A208" s="1" t="s">
        <v>213</v>
      </c>
      <c r="B208" s="1"/>
      <c r="C208" s="1" t="s">
        <v>112</v>
      </c>
      <c r="E208" s="16">
        <v>1367943</v>
      </c>
      <c r="G208" s="16">
        <v>5951</v>
      </c>
      <c r="I208" s="16">
        <v>70977</v>
      </c>
      <c r="K208" s="16">
        <v>59321</v>
      </c>
      <c r="M208" s="16">
        <v>232631</v>
      </c>
      <c r="O208" s="16">
        <v>885089</v>
      </c>
      <c r="Q208" s="16">
        <v>1269475</v>
      </c>
      <c r="S208" s="16">
        <v>473492</v>
      </c>
      <c r="U208" s="16">
        <v>2028000</v>
      </c>
      <c r="W208" s="16">
        <v>0</v>
      </c>
      <c r="Y208" s="16">
        <v>147900</v>
      </c>
      <c r="AA208" s="16">
        <v>50000</v>
      </c>
      <c r="AC208" s="16">
        <v>271746</v>
      </c>
      <c r="AE208" s="16">
        <f t="shared" si="6"/>
        <v>6862525</v>
      </c>
    </row>
    <row r="209" spans="1:31" ht="12.75" customHeight="1">
      <c r="A209" s="1" t="s">
        <v>456</v>
      </c>
      <c r="C209" s="1" t="s">
        <v>76</v>
      </c>
      <c r="E209" s="16">
        <v>385184</v>
      </c>
      <c r="G209" s="16">
        <v>3134</v>
      </c>
      <c r="I209" s="16">
        <v>0</v>
      </c>
      <c r="K209" s="16">
        <v>1200</v>
      </c>
      <c r="M209" s="16">
        <v>0</v>
      </c>
      <c r="O209" s="16">
        <v>111512</v>
      </c>
      <c r="Q209" s="16">
        <v>221294</v>
      </c>
      <c r="S209" s="16">
        <v>0</v>
      </c>
      <c r="U209" s="16">
        <v>0</v>
      </c>
      <c r="W209" s="16">
        <v>18438</v>
      </c>
      <c r="Y209" s="16">
        <v>10089</v>
      </c>
      <c r="AA209" s="16">
        <v>36400</v>
      </c>
      <c r="AC209" s="16">
        <v>0</v>
      </c>
      <c r="AE209" s="16">
        <f t="shared" si="6"/>
        <v>787251</v>
      </c>
    </row>
    <row r="210" spans="1:31" ht="12.75" customHeight="1">
      <c r="A210" s="1" t="s">
        <v>214</v>
      </c>
      <c r="B210" s="1"/>
      <c r="C210" s="1" t="s">
        <v>215</v>
      </c>
      <c r="E210" s="16">
        <v>355676</v>
      </c>
      <c r="G210" s="16">
        <v>5610</v>
      </c>
      <c r="I210" s="16">
        <v>49993</v>
      </c>
      <c r="K210" s="16">
        <v>3224</v>
      </c>
      <c r="M210" s="16">
        <v>0</v>
      </c>
      <c r="O210" s="16">
        <v>113001</v>
      </c>
      <c r="Q210" s="16">
        <v>179163</v>
      </c>
      <c r="S210" s="16">
        <v>718242</v>
      </c>
      <c r="U210" s="16">
        <v>857836</v>
      </c>
      <c r="W210" s="16">
        <v>0</v>
      </c>
      <c r="Y210" s="16">
        <v>5292346</v>
      </c>
      <c r="AA210" s="16">
        <v>0</v>
      </c>
      <c r="AC210" s="16">
        <v>0</v>
      </c>
      <c r="AE210" s="16">
        <f t="shared" si="6"/>
        <v>7575091</v>
      </c>
    </row>
    <row r="211" spans="1:31" ht="12.75" customHeight="1">
      <c r="A211" s="1" t="s">
        <v>474</v>
      </c>
      <c r="C211" s="1" t="s">
        <v>246</v>
      </c>
      <c r="E211" s="16">
        <v>555820</v>
      </c>
      <c r="G211" s="16">
        <v>46197</v>
      </c>
      <c r="I211" s="16">
        <v>1092</v>
      </c>
      <c r="K211" s="16">
        <v>9332</v>
      </c>
      <c r="M211" s="16">
        <v>0</v>
      </c>
      <c r="O211" s="16">
        <v>90995</v>
      </c>
      <c r="Q211" s="16">
        <v>271599</v>
      </c>
      <c r="S211" s="16">
        <v>394083</v>
      </c>
      <c r="U211" s="16">
        <v>4623</v>
      </c>
      <c r="W211" s="16">
        <v>73704</v>
      </c>
      <c r="Y211" s="16">
        <v>0</v>
      </c>
      <c r="AA211" s="16">
        <v>0</v>
      </c>
      <c r="AC211" s="16">
        <v>0</v>
      </c>
      <c r="AE211" s="16">
        <f t="shared" si="6"/>
        <v>1447445</v>
      </c>
    </row>
    <row r="212" spans="1:31" ht="12.75" customHeight="1">
      <c r="A212" s="1" t="s">
        <v>216</v>
      </c>
      <c r="B212" s="1"/>
      <c r="C212" s="1" t="s">
        <v>217</v>
      </c>
      <c r="E212" s="16">
        <v>1195430</v>
      </c>
      <c r="G212" s="16">
        <v>1234</v>
      </c>
      <c r="I212" s="16">
        <v>0</v>
      </c>
      <c r="K212" s="16">
        <v>97436</v>
      </c>
      <c r="M212" s="16">
        <v>0</v>
      </c>
      <c r="O212" s="16">
        <v>260364</v>
      </c>
      <c r="Q212" s="16">
        <v>655211</v>
      </c>
      <c r="S212" s="16">
        <v>1194518</v>
      </c>
      <c r="U212" s="16">
        <v>421700</v>
      </c>
      <c r="W212" s="16">
        <v>107059</v>
      </c>
      <c r="Y212" s="16">
        <v>181753</v>
      </c>
      <c r="AA212" s="16">
        <v>25458</v>
      </c>
      <c r="AC212" s="16">
        <v>0</v>
      </c>
      <c r="AE212" s="16">
        <f t="shared" si="6"/>
        <v>4140163</v>
      </c>
    </row>
    <row r="213" spans="1:31" ht="12.75" customHeight="1">
      <c r="A213" s="1" t="s">
        <v>521</v>
      </c>
      <c r="C213" s="1" t="s">
        <v>78</v>
      </c>
      <c r="E213" s="16">
        <v>37036</v>
      </c>
      <c r="G213" s="16">
        <v>1892</v>
      </c>
      <c r="I213" s="16">
        <v>13590</v>
      </c>
      <c r="K213" s="16">
        <v>17026</v>
      </c>
      <c r="M213" s="16">
        <v>24659</v>
      </c>
      <c r="O213" s="16">
        <v>26804</v>
      </c>
      <c r="Q213" s="16">
        <v>39308</v>
      </c>
      <c r="S213" s="16">
        <v>363717</v>
      </c>
      <c r="U213" s="16">
        <v>108851</v>
      </c>
      <c r="W213" s="16">
        <v>2764</v>
      </c>
      <c r="Y213" s="16">
        <v>953</v>
      </c>
      <c r="AA213" s="16">
        <v>0</v>
      </c>
      <c r="AC213" s="16">
        <v>0</v>
      </c>
      <c r="AE213" s="16">
        <f t="shared" si="6"/>
        <v>636600</v>
      </c>
    </row>
    <row r="214" spans="1:31" ht="12.75" customHeight="1">
      <c r="A214" s="1" t="s">
        <v>717</v>
      </c>
      <c r="C214" s="1" t="s">
        <v>142</v>
      </c>
      <c r="E214" s="16">
        <v>352493</v>
      </c>
      <c r="G214" s="16">
        <v>552</v>
      </c>
      <c r="I214" s="16">
        <v>40585</v>
      </c>
      <c r="K214" s="16">
        <v>33596</v>
      </c>
      <c r="M214" s="16">
        <v>0</v>
      </c>
      <c r="O214" s="16">
        <v>61266</v>
      </c>
      <c r="Q214" s="16">
        <v>222407</v>
      </c>
      <c r="S214" s="16">
        <v>658670</v>
      </c>
      <c r="U214" s="16">
        <v>42483</v>
      </c>
      <c r="W214" s="16">
        <v>4677</v>
      </c>
      <c r="Y214" s="16">
        <v>8720</v>
      </c>
      <c r="AA214" s="16">
        <v>30000</v>
      </c>
      <c r="AC214" s="16">
        <v>0</v>
      </c>
      <c r="AE214" s="16">
        <f t="shared" si="6"/>
        <v>1455449</v>
      </c>
    </row>
    <row r="215" spans="1:31" ht="12.75" customHeight="1">
      <c r="A215" s="1" t="s">
        <v>704</v>
      </c>
      <c r="C215" s="1" t="s">
        <v>110</v>
      </c>
      <c r="E215" s="16">
        <v>11319</v>
      </c>
      <c r="G215" s="16">
        <v>0</v>
      </c>
      <c r="I215" s="16">
        <v>4015</v>
      </c>
      <c r="K215" s="16">
        <v>130</v>
      </c>
      <c r="M215" s="16">
        <v>6667</v>
      </c>
      <c r="O215" s="16">
        <v>7516</v>
      </c>
      <c r="Q215" s="16">
        <v>21339</v>
      </c>
      <c r="S215" s="16">
        <v>2064</v>
      </c>
      <c r="U215" s="16">
        <v>0</v>
      </c>
      <c r="W215" s="16">
        <v>0</v>
      </c>
      <c r="Y215" s="16">
        <v>0</v>
      </c>
      <c r="AA215" s="16">
        <v>0</v>
      </c>
      <c r="AC215" s="16">
        <v>0</v>
      </c>
      <c r="AE215" s="16">
        <f t="shared" si="6"/>
        <v>53050</v>
      </c>
    </row>
    <row r="216" spans="1:31" ht="12.75" customHeight="1">
      <c r="A216" s="1" t="s">
        <v>705</v>
      </c>
      <c r="C216" s="1" t="s">
        <v>110</v>
      </c>
      <c r="E216" s="16">
        <v>99696</v>
      </c>
      <c r="G216" s="16">
        <v>3888</v>
      </c>
      <c r="I216" s="16">
        <v>5773</v>
      </c>
      <c r="K216" s="16">
        <v>9291</v>
      </c>
      <c r="M216" s="16">
        <v>2054</v>
      </c>
      <c r="O216" s="16">
        <v>19705</v>
      </c>
      <c r="Q216" s="16">
        <v>122706</v>
      </c>
      <c r="S216" s="16">
        <v>60250</v>
      </c>
      <c r="U216" s="16">
        <v>0</v>
      </c>
      <c r="W216" s="16">
        <v>0</v>
      </c>
      <c r="Y216" s="16">
        <v>142000</v>
      </c>
      <c r="AA216" s="16">
        <v>0</v>
      </c>
      <c r="AC216" s="16">
        <v>0</v>
      </c>
      <c r="AE216" s="16">
        <f t="shared" si="6"/>
        <v>465363</v>
      </c>
    </row>
    <row r="217" spans="1:31" ht="12.75" customHeight="1">
      <c r="A217" s="1" t="s">
        <v>218</v>
      </c>
      <c r="B217" s="1"/>
      <c r="C217" s="1" t="s">
        <v>73</v>
      </c>
      <c r="E217" s="16">
        <v>837587</v>
      </c>
      <c r="G217" s="16">
        <v>4900</v>
      </c>
      <c r="I217" s="16">
        <v>85103</v>
      </c>
      <c r="K217" s="16">
        <v>474</v>
      </c>
      <c r="M217" s="16">
        <v>308364</v>
      </c>
      <c r="O217" s="16">
        <v>255585</v>
      </c>
      <c r="Q217" s="16">
        <v>380701</v>
      </c>
      <c r="S217" s="16">
        <v>424842</v>
      </c>
      <c r="U217" s="16">
        <v>147631</v>
      </c>
      <c r="W217" s="16">
        <v>48005</v>
      </c>
      <c r="Y217" s="16">
        <v>280931</v>
      </c>
      <c r="AA217" s="16">
        <v>0</v>
      </c>
      <c r="AC217" s="16">
        <v>775</v>
      </c>
      <c r="AE217" s="16">
        <f t="shared" si="6"/>
        <v>2774898</v>
      </c>
    </row>
    <row r="218" spans="1:31" ht="12.75" customHeight="1">
      <c r="A218" s="1" t="s">
        <v>219</v>
      </c>
      <c r="B218" s="1"/>
      <c r="C218" s="1" t="s">
        <v>179</v>
      </c>
      <c r="E218" s="16">
        <v>2378</v>
      </c>
      <c r="G218" s="16">
        <v>0</v>
      </c>
      <c r="I218" s="16">
        <v>46452</v>
      </c>
      <c r="K218" s="16">
        <v>0</v>
      </c>
      <c r="M218" s="16">
        <v>0</v>
      </c>
      <c r="O218" s="16">
        <v>18860</v>
      </c>
      <c r="Q218" s="16">
        <v>17668</v>
      </c>
      <c r="S218" s="16">
        <v>0</v>
      </c>
      <c r="U218" s="16">
        <v>0</v>
      </c>
      <c r="W218" s="16">
        <v>0</v>
      </c>
      <c r="Y218" s="16">
        <v>0</v>
      </c>
      <c r="AA218" s="16">
        <v>0</v>
      </c>
      <c r="AC218" s="16">
        <v>0</v>
      </c>
      <c r="AE218" s="16">
        <f t="shared" si="6"/>
        <v>85358</v>
      </c>
    </row>
    <row r="219" spans="1:31" ht="12.75" customHeight="1">
      <c r="A219" s="1" t="s">
        <v>220</v>
      </c>
      <c r="B219" s="1"/>
      <c r="C219" s="1" t="s">
        <v>221</v>
      </c>
      <c r="E219" s="16">
        <v>15480</v>
      </c>
      <c r="G219" s="16">
        <v>579</v>
      </c>
      <c r="I219" s="16">
        <v>0</v>
      </c>
      <c r="K219" s="16">
        <v>0</v>
      </c>
      <c r="M219" s="16">
        <v>0</v>
      </c>
      <c r="O219" s="16">
        <v>1983</v>
      </c>
      <c r="Q219" s="16">
        <v>26683</v>
      </c>
      <c r="S219" s="16">
        <v>0</v>
      </c>
      <c r="U219" s="16">
        <v>0</v>
      </c>
      <c r="W219" s="16">
        <v>0</v>
      </c>
      <c r="Y219" s="16">
        <v>0</v>
      </c>
      <c r="AA219" s="16">
        <v>0</v>
      </c>
      <c r="AC219" s="16">
        <v>948</v>
      </c>
      <c r="AE219" s="16">
        <f t="shared" si="6"/>
        <v>45673</v>
      </c>
    </row>
    <row r="220" spans="1:31" ht="12.75" customHeight="1">
      <c r="A220" s="1" t="s">
        <v>516</v>
      </c>
      <c r="C220" s="1" t="s">
        <v>112</v>
      </c>
      <c r="E220" s="16">
        <v>577192</v>
      </c>
      <c r="G220" s="16">
        <v>6540</v>
      </c>
      <c r="I220" s="16">
        <v>0</v>
      </c>
      <c r="K220" s="16">
        <v>149432</v>
      </c>
      <c r="M220" s="16">
        <v>0</v>
      </c>
      <c r="O220" s="16">
        <v>267373</v>
      </c>
      <c r="Q220" s="16">
        <v>1090951</v>
      </c>
      <c r="S220" s="16">
        <v>1453410</v>
      </c>
      <c r="U220" s="16">
        <v>20000</v>
      </c>
      <c r="W220" s="16">
        <v>19290</v>
      </c>
      <c r="Y220" s="16">
        <v>255000</v>
      </c>
      <c r="AA220" s="16">
        <v>0</v>
      </c>
      <c r="AC220" s="16">
        <v>0</v>
      </c>
      <c r="AE220" s="16">
        <f t="shared" si="6"/>
        <v>3839188</v>
      </c>
    </row>
    <row r="221" spans="1:31" ht="12.75" customHeight="1">
      <c r="A221" s="1" t="s">
        <v>642</v>
      </c>
      <c r="C221" s="1" t="s">
        <v>274</v>
      </c>
      <c r="E221" s="16">
        <v>24542</v>
      </c>
      <c r="G221" s="16">
        <v>13039</v>
      </c>
      <c r="I221" s="16">
        <v>273</v>
      </c>
      <c r="K221" s="16">
        <v>3544</v>
      </c>
      <c r="M221" s="16">
        <v>0</v>
      </c>
      <c r="O221" s="16">
        <v>6585</v>
      </c>
      <c r="Q221" s="16">
        <v>43818</v>
      </c>
      <c r="S221" s="16">
        <v>0</v>
      </c>
      <c r="U221" s="16">
        <v>0</v>
      </c>
      <c r="W221" s="16">
        <v>15607</v>
      </c>
      <c r="Y221" s="16">
        <v>0</v>
      </c>
      <c r="AA221" s="16">
        <v>0</v>
      </c>
      <c r="AC221" s="16">
        <v>0</v>
      </c>
      <c r="AE221" s="16">
        <f t="shared" si="6"/>
        <v>107408</v>
      </c>
    </row>
    <row r="222" spans="1:31" ht="12.75" customHeight="1">
      <c r="A222" s="1" t="s">
        <v>459</v>
      </c>
      <c r="C222" s="1" t="s">
        <v>71</v>
      </c>
      <c r="E222" s="16">
        <v>224967</v>
      </c>
      <c r="G222" s="16">
        <v>1476</v>
      </c>
      <c r="I222" s="16">
        <v>14828</v>
      </c>
      <c r="K222" s="16">
        <v>0</v>
      </c>
      <c r="M222" s="16">
        <v>0</v>
      </c>
      <c r="O222" s="16">
        <v>164758</v>
      </c>
      <c r="Q222" s="16">
        <v>93294</v>
      </c>
      <c r="S222" s="16">
        <v>10260</v>
      </c>
      <c r="U222" s="16">
        <v>55173</v>
      </c>
      <c r="W222" s="16">
        <v>5295</v>
      </c>
      <c r="Y222" s="16">
        <v>0</v>
      </c>
      <c r="AA222" s="16">
        <v>0</v>
      </c>
      <c r="AC222" s="16">
        <v>0</v>
      </c>
      <c r="AE222" s="16">
        <f t="shared" si="6"/>
        <v>570051</v>
      </c>
    </row>
    <row r="223" spans="1:31" ht="12.75" customHeight="1">
      <c r="A223" s="1" t="s">
        <v>222</v>
      </c>
      <c r="B223" s="1"/>
      <c r="C223" s="1" t="s">
        <v>96</v>
      </c>
      <c r="E223" s="16">
        <v>123403</v>
      </c>
      <c r="G223" s="16">
        <v>1001</v>
      </c>
      <c r="I223" s="16">
        <v>9220</v>
      </c>
      <c r="K223" s="16">
        <v>690</v>
      </c>
      <c r="M223" s="16">
        <v>84627</v>
      </c>
      <c r="O223" s="16">
        <v>113361</v>
      </c>
      <c r="Q223" s="16">
        <v>76274</v>
      </c>
      <c r="S223" s="16">
        <v>93695</v>
      </c>
      <c r="U223" s="16">
        <v>5676</v>
      </c>
      <c r="W223" s="16">
        <v>103986</v>
      </c>
      <c r="Y223" s="16">
        <v>0</v>
      </c>
      <c r="AA223" s="16">
        <v>0</v>
      </c>
      <c r="AC223" s="16">
        <v>0</v>
      </c>
      <c r="AE223" s="16">
        <f t="shared" si="6"/>
        <v>611933</v>
      </c>
    </row>
    <row r="224" spans="1:31" ht="12.75" customHeight="1">
      <c r="A224" s="1" t="s">
        <v>223</v>
      </c>
      <c r="B224" s="1"/>
      <c r="C224" s="1" t="s">
        <v>73</v>
      </c>
      <c r="E224" s="16">
        <v>1601241</v>
      </c>
      <c r="G224" s="16">
        <v>2855</v>
      </c>
      <c r="I224" s="16">
        <v>0</v>
      </c>
      <c r="K224" s="16">
        <v>29770</v>
      </c>
      <c r="M224" s="16">
        <v>3204</v>
      </c>
      <c r="O224" s="16">
        <v>268046</v>
      </c>
      <c r="Q224" s="16">
        <v>710494</v>
      </c>
      <c r="S224" s="16">
        <v>0</v>
      </c>
      <c r="U224" s="16">
        <v>35875</v>
      </c>
      <c r="W224" s="16">
        <v>0</v>
      </c>
      <c r="Y224" s="16">
        <v>594840</v>
      </c>
      <c r="AA224" s="16">
        <v>0</v>
      </c>
      <c r="AC224" s="16">
        <v>0</v>
      </c>
      <c r="AE224" s="16">
        <f t="shared" si="6"/>
        <v>3246325</v>
      </c>
    </row>
    <row r="225" spans="1:31" ht="12.75" customHeight="1">
      <c r="A225" s="1" t="s">
        <v>226</v>
      </c>
      <c r="B225" s="1"/>
      <c r="C225" s="1" t="s">
        <v>78</v>
      </c>
      <c r="E225" s="16">
        <v>8354</v>
      </c>
      <c r="G225" s="16">
        <v>308</v>
      </c>
      <c r="I225" s="16">
        <v>2586</v>
      </c>
      <c r="K225" s="16">
        <v>0</v>
      </c>
      <c r="M225" s="16">
        <v>10210</v>
      </c>
      <c r="O225" s="16">
        <v>1349</v>
      </c>
      <c r="Q225" s="16">
        <v>26040</v>
      </c>
      <c r="S225" s="16">
        <v>0</v>
      </c>
      <c r="U225" s="16">
        <v>0</v>
      </c>
      <c r="W225" s="16">
        <v>0</v>
      </c>
      <c r="Y225" s="16">
        <v>0</v>
      </c>
      <c r="AA225" s="16">
        <v>0</v>
      </c>
      <c r="AC225" s="16">
        <v>0</v>
      </c>
      <c r="AE225" s="16">
        <f t="shared" si="6"/>
        <v>48847</v>
      </c>
    </row>
    <row r="226" spans="1:31" ht="12.75" customHeight="1">
      <c r="A226" s="1" t="s">
        <v>227</v>
      </c>
      <c r="B226" s="1"/>
      <c r="C226" s="1" t="s">
        <v>228</v>
      </c>
      <c r="E226" s="16">
        <v>575008</v>
      </c>
      <c r="G226" s="16">
        <v>39037</v>
      </c>
      <c r="I226" s="16">
        <v>10617</v>
      </c>
      <c r="K226" s="16">
        <v>31877</v>
      </c>
      <c r="M226" s="16">
        <v>106387</v>
      </c>
      <c r="O226" s="16">
        <v>113074</v>
      </c>
      <c r="Q226" s="16">
        <v>433606</v>
      </c>
      <c r="S226" s="16">
        <v>374162</v>
      </c>
      <c r="U226" s="16">
        <v>105276</v>
      </c>
      <c r="W226" s="16">
        <v>51645</v>
      </c>
      <c r="Y226" s="16">
        <v>120577</v>
      </c>
      <c r="AA226" s="16">
        <v>949</v>
      </c>
      <c r="AC226" s="16">
        <v>151130</v>
      </c>
      <c r="AE226" s="16">
        <f t="shared" si="6"/>
        <v>2113345</v>
      </c>
    </row>
    <row r="227" spans="1:31" ht="12.75" customHeight="1">
      <c r="A227" s="1" t="s">
        <v>770</v>
      </c>
      <c r="C227" s="1" t="s">
        <v>94</v>
      </c>
      <c r="E227" s="16">
        <v>75324</v>
      </c>
      <c r="G227" s="16">
        <v>920</v>
      </c>
      <c r="I227" s="16">
        <v>18734</v>
      </c>
      <c r="K227" s="16">
        <v>1724</v>
      </c>
      <c r="M227" s="16">
        <v>5818</v>
      </c>
      <c r="O227" s="16">
        <v>81225</v>
      </c>
      <c r="Q227" s="16">
        <v>109580</v>
      </c>
      <c r="S227" s="16">
        <v>72144</v>
      </c>
      <c r="U227" s="16">
        <v>56666</v>
      </c>
      <c r="W227" s="16">
        <v>16638</v>
      </c>
      <c r="Y227" s="16">
        <v>32739</v>
      </c>
      <c r="AA227" s="16">
        <v>0</v>
      </c>
      <c r="AC227" s="16">
        <v>0</v>
      </c>
      <c r="AE227" s="16">
        <f t="shared" si="6"/>
        <v>471512</v>
      </c>
    </row>
    <row r="228" spans="1:31" ht="12.75" customHeight="1">
      <c r="A228" s="1" t="s">
        <v>229</v>
      </c>
      <c r="B228" s="1"/>
      <c r="C228" s="1" t="s">
        <v>197</v>
      </c>
      <c r="E228" s="16">
        <v>512507</v>
      </c>
      <c r="G228" s="16">
        <v>3389</v>
      </c>
      <c r="I228" s="16">
        <v>2530</v>
      </c>
      <c r="K228" s="16">
        <v>3575</v>
      </c>
      <c r="M228" s="16">
        <v>0</v>
      </c>
      <c r="O228" s="16">
        <v>36614</v>
      </c>
      <c r="Q228" s="16">
        <v>142827</v>
      </c>
      <c r="S228" s="16">
        <v>281801</v>
      </c>
      <c r="U228" s="16">
        <v>6456</v>
      </c>
      <c r="W228" s="16">
        <v>259</v>
      </c>
      <c r="Y228" s="16">
        <v>9225</v>
      </c>
      <c r="AA228" s="16">
        <v>0</v>
      </c>
      <c r="AC228" s="16">
        <v>0</v>
      </c>
      <c r="AE228" s="16">
        <f t="shared" si="6"/>
        <v>999183</v>
      </c>
    </row>
    <row r="229" spans="1:31" ht="12.75" customHeight="1">
      <c r="A229" s="1" t="s">
        <v>230</v>
      </c>
      <c r="B229" s="1"/>
      <c r="C229" s="1" t="s">
        <v>231</v>
      </c>
      <c r="E229" s="16">
        <v>783092</v>
      </c>
      <c r="G229" s="16">
        <v>19487</v>
      </c>
      <c r="I229" s="16">
        <v>0</v>
      </c>
      <c r="K229" s="16">
        <v>99763</v>
      </c>
      <c r="M229" s="16">
        <v>0</v>
      </c>
      <c r="O229" s="16">
        <v>689982</v>
      </c>
      <c r="Q229" s="16">
        <v>999692</v>
      </c>
      <c r="S229" s="16">
        <v>1372941</v>
      </c>
      <c r="U229" s="16">
        <v>321123</v>
      </c>
      <c r="W229" s="16">
        <v>0</v>
      </c>
      <c r="Y229" s="16">
        <v>152100</v>
      </c>
      <c r="AA229" s="16">
        <v>0</v>
      </c>
      <c r="AC229" s="16">
        <v>0</v>
      </c>
      <c r="AE229" s="16">
        <f aca="true" t="shared" si="7" ref="AE229:AE258">SUM(E229:AC229)</f>
        <v>4438180</v>
      </c>
    </row>
    <row r="230" spans="1:31" ht="12.75" customHeight="1">
      <c r="A230" s="1" t="s">
        <v>232</v>
      </c>
      <c r="B230" s="1"/>
      <c r="C230" s="1" t="s">
        <v>231</v>
      </c>
      <c r="E230" s="16">
        <v>3322</v>
      </c>
      <c r="G230" s="16">
        <v>0</v>
      </c>
      <c r="I230" s="16">
        <v>0</v>
      </c>
      <c r="K230" s="16">
        <v>0</v>
      </c>
      <c r="M230" s="16">
        <v>0</v>
      </c>
      <c r="O230" s="16">
        <v>14359</v>
      </c>
      <c r="Q230" s="16">
        <v>17213</v>
      </c>
      <c r="S230" s="16">
        <v>0</v>
      </c>
      <c r="U230" s="16">
        <v>0</v>
      </c>
      <c r="W230" s="16">
        <v>0</v>
      </c>
      <c r="Y230" s="16">
        <v>0</v>
      </c>
      <c r="AA230" s="16">
        <v>0</v>
      </c>
      <c r="AC230" s="16">
        <v>0</v>
      </c>
      <c r="AE230" s="16">
        <f t="shared" si="7"/>
        <v>34894</v>
      </c>
    </row>
    <row r="231" spans="1:31" ht="12.75" customHeight="1">
      <c r="A231" s="1" t="s">
        <v>698</v>
      </c>
      <c r="C231" s="1" t="s">
        <v>225</v>
      </c>
      <c r="E231" s="16">
        <v>37825</v>
      </c>
      <c r="G231" s="16">
        <v>104160</v>
      </c>
      <c r="I231" s="16">
        <v>344</v>
      </c>
      <c r="K231" s="16">
        <v>0</v>
      </c>
      <c r="M231" s="16">
        <v>0</v>
      </c>
      <c r="O231" s="16">
        <v>33709</v>
      </c>
      <c r="Q231" s="16">
        <v>32881</v>
      </c>
      <c r="S231" s="16">
        <v>45901</v>
      </c>
      <c r="U231" s="16">
        <v>24515</v>
      </c>
      <c r="W231" s="16">
        <v>3254</v>
      </c>
      <c r="Y231" s="16">
        <v>0</v>
      </c>
      <c r="AA231" s="16">
        <v>10000</v>
      </c>
      <c r="AC231" s="16">
        <v>5039</v>
      </c>
      <c r="AE231" s="16">
        <f t="shared" si="7"/>
        <v>297628</v>
      </c>
    </row>
    <row r="232" spans="1:31" ht="12.75" customHeight="1">
      <c r="A232" s="1" t="s">
        <v>233</v>
      </c>
      <c r="B232" s="1"/>
      <c r="C232" s="1" t="s">
        <v>80</v>
      </c>
      <c r="E232" s="16">
        <v>1588</v>
      </c>
      <c r="G232" s="16">
        <v>1210</v>
      </c>
      <c r="I232" s="16">
        <v>0</v>
      </c>
      <c r="K232" s="16">
        <v>0</v>
      </c>
      <c r="M232" s="16">
        <v>0</v>
      </c>
      <c r="O232" s="16">
        <v>1425</v>
      </c>
      <c r="Q232" s="16">
        <v>3256</v>
      </c>
      <c r="S232" s="16">
        <v>0</v>
      </c>
      <c r="U232" s="16">
        <v>0</v>
      </c>
      <c r="W232" s="16">
        <v>0</v>
      </c>
      <c r="Y232" s="16">
        <v>0</v>
      </c>
      <c r="AA232" s="16">
        <v>0</v>
      </c>
      <c r="AC232" s="16">
        <v>0</v>
      </c>
      <c r="AE232" s="16">
        <f t="shared" si="7"/>
        <v>7479</v>
      </c>
    </row>
    <row r="233" spans="1:31" ht="12.75" customHeight="1">
      <c r="A233" s="1" t="s">
        <v>636</v>
      </c>
      <c r="C233" s="1" t="s">
        <v>268</v>
      </c>
      <c r="E233" s="16">
        <v>9192</v>
      </c>
      <c r="G233" s="16">
        <v>10110</v>
      </c>
      <c r="I233" s="16">
        <v>4895</v>
      </c>
      <c r="K233" s="16">
        <v>0</v>
      </c>
      <c r="M233" s="16">
        <v>0</v>
      </c>
      <c r="O233" s="16">
        <v>17950</v>
      </c>
      <c r="Q233" s="16">
        <v>34066</v>
      </c>
      <c r="S233" s="16">
        <v>14861</v>
      </c>
      <c r="U233" s="16">
        <v>0</v>
      </c>
      <c r="W233" s="16">
        <v>0</v>
      </c>
      <c r="Y233" s="16">
        <v>196</v>
      </c>
      <c r="AA233" s="16">
        <v>0</v>
      </c>
      <c r="AC233" s="16">
        <v>0</v>
      </c>
      <c r="AE233" s="16">
        <f t="shared" si="7"/>
        <v>91270</v>
      </c>
    </row>
    <row r="234" spans="1:31" ht="12.75" customHeight="1">
      <c r="A234" s="1" t="s">
        <v>723</v>
      </c>
      <c r="C234" s="1" t="s">
        <v>118</v>
      </c>
      <c r="E234" s="16">
        <v>145389</v>
      </c>
      <c r="G234" s="16">
        <v>16372</v>
      </c>
      <c r="I234" s="16">
        <v>22272</v>
      </c>
      <c r="K234" s="16">
        <v>565</v>
      </c>
      <c r="M234" s="16">
        <v>0</v>
      </c>
      <c r="O234" s="16">
        <v>109295</v>
      </c>
      <c r="Q234" s="16">
        <v>97417</v>
      </c>
      <c r="S234" s="16">
        <v>140707</v>
      </c>
      <c r="U234" s="16">
        <v>0</v>
      </c>
      <c r="W234" s="16">
        <v>0</v>
      </c>
      <c r="Y234" s="16">
        <v>80000</v>
      </c>
      <c r="AA234" s="16">
        <v>0</v>
      </c>
      <c r="AC234" s="16">
        <v>0</v>
      </c>
      <c r="AE234" s="16">
        <f t="shared" si="7"/>
        <v>612017</v>
      </c>
    </row>
    <row r="235" spans="1:31" ht="12.75" customHeight="1">
      <c r="A235" s="1" t="s">
        <v>567</v>
      </c>
      <c r="C235" s="1" t="s">
        <v>73</v>
      </c>
      <c r="E235" s="16">
        <v>856192</v>
      </c>
      <c r="G235" s="16">
        <v>3097</v>
      </c>
      <c r="I235" s="16">
        <v>16945</v>
      </c>
      <c r="K235" s="16">
        <v>699745</v>
      </c>
      <c r="M235" s="16">
        <v>0</v>
      </c>
      <c r="O235" s="16">
        <v>106693</v>
      </c>
      <c r="Q235" s="16">
        <v>601315</v>
      </c>
      <c r="S235" s="16">
        <v>1115443</v>
      </c>
      <c r="U235" s="16">
        <v>1600000</v>
      </c>
      <c r="W235" s="16">
        <v>108395</v>
      </c>
      <c r="Y235" s="16">
        <v>18500</v>
      </c>
      <c r="AA235" s="16">
        <v>0</v>
      </c>
      <c r="AC235" s="16">
        <v>116649</v>
      </c>
      <c r="AE235" s="16">
        <f t="shared" si="7"/>
        <v>5242974</v>
      </c>
    </row>
    <row r="236" spans="1:31" ht="12.75" customHeight="1">
      <c r="A236" s="1" t="s">
        <v>593</v>
      </c>
      <c r="C236" s="1" t="s">
        <v>303</v>
      </c>
      <c r="E236" s="16">
        <v>279739</v>
      </c>
      <c r="G236" s="16">
        <v>51842</v>
      </c>
      <c r="I236" s="16">
        <v>9871</v>
      </c>
      <c r="K236" s="16">
        <v>0</v>
      </c>
      <c r="M236" s="16">
        <v>0</v>
      </c>
      <c r="O236" s="16">
        <v>63569</v>
      </c>
      <c r="Q236" s="16">
        <v>142631</v>
      </c>
      <c r="S236" s="16">
        <v>251997</v>
      </c>
      <c r="U236" s="16">
        <v>13595</v>
      </c>
      <c r="W236" s="16">
        <v>0</v>
      </c>
      <c r="Y236" s="16">
        <v>164992</v>
      </c>
      <c r="AA236" s="16">
        <v>0</v>
      </c>
      <c r="AC236" s="16">
        <v>2400</v>
      </c>
      <c r="AE236" s="16">
        <f t="shared" si="7"/>
        <v>980636</v>
      </c>
    </row>
    <row r="237" spans="1:31" ht="12.75" customHeight="1">
      <c r="A237" s="1" t="s">
        <v>234</v>
      </c>
      <c r="B237" s="1"/>
      <c r="C237" s="1" t="s">
        <v>149</v>
      </c>
      <c r="E237" s="16">
        <v>1238998</v>
      </c>
      <c r="G237" s="16">
        <v>63667</v>
      </c>
      <c r="I237" s="16">
        <v>2398019</v>
      </c>
      <c r="K237" s="16">
        <v>629684</v>
      </c>
      <c r="M237" s="16">
        <v>0</v>
      </c>
      <c r="O237" s="16">
        <v>688322</v>
      </c>
      <c r="Q237" s="16">
        <v>2388108</v>
      </c>
      <c r="S237" s="16">
        <v>4424747</v>
      </c>
      <c r="U237" s="16">
        <v>479605</v>
      </c>
      <c r="W237" s="16">
        <v>737578</v>
      </c>
      <c r="Y237" s="16">
        <v>0</v>
      </c>
      <c r="AA237" s="16">
        <v>0</v>
      </c>
      <c r="AC237" s="16">
        <v>0</v>
      </c>
      <c r="AE237" s="16">
        <f t="shared" si="7"/>
        <v>13048728</v>
      </c>
    </row>
    <row r="238" spans="1:31" ht="12.75" customHeight="1">
      <c r="A238" s="1" t="s">
        <v>235</v>
      </c>
      <c r="B238" s="1"/>
      <c r="C238" s="1" t="s">
        <v>236</v>
      </c>
      <c r="E238" s="16">
        <v>44754</v>
      </c>
      <c r="G238" s="16">
        <v>178</v>
      </c>
      <c r="I238" s="16">
        <v>0</v>
      </c>
      <c r="K238" s="16">
        <v>0</v>
      </c>
      <c r="M238" s="16">
        <v>0</v>
      </c>
      <c r="O238" s="16">
        <v>50830</v>
      </c>
      <c r="Q238" s="16">
        <v>33176</v>
      </c>
      <c r="S238" s="16">
        <v>0</v>
      </c>
      <c r="U238" s="16">
        <v>0</v>
      </c>
      <c r="W238" s="16">
        <v>0</v>
      </c>
      <c r="Y238" s="16">
        <v>200</v>
      </c>
      <c r="AA238" s="16">
        <v>0</v>
      </c>
      <c r="AC238" s="16">
        <v>0</v>
      </c>
      <c r="AE238" s="16">
        <f t="shared" si="7"/>
        <v>129138</v>
      </c>
    </row>
    <row r="239" spans="1:31" ht="12.75" customHeight="1">
      <c r="A239" s="1" t="s">
        <v>475</v>
      </c>
      <c r="C239" s="1" t="s">
        <v>246</v>
      </c>
      <c r="E239" s="16">
        <v>47725</v>
      </c>
      <c r="G239" s="16">
        <v>491</v>
      </c>
      <c r="I239" s="16">
        <v>0</v>
      </c>
      <c r="K239" s="16">
        <v>50</v>
      </c>
      <c r="M239" s="16">
        <v>0</v>
      </c>
      <c r="O239" s="16">
        <v>33707</v>
      </c>
      <c r="Q239" s="16">
        <v>27720</v>
      </c>
      <c r="S239" s="16">
        <v>0</v>
      </c>
      <c r="U239" s="16">
        <v>15000</v>
      </c>
      <c r="W239" s="16">
        <v>54251</v>
      </c>
      <c r="Y239" s="16">
        <v>0</v>
      </c>
      <c r="AA239" s="16">
        <v>0</v>
      </c>
      <c r="AC239" s="16">
        <v>573</v>
      </c>
      <c r="AE239" s="16">
        <f t="shared" si="7"/>
        <v>179517</v>
      </c>
    </row>
    <row r="240" spans="1:31" ht="12.75" customHeight="1">
      <c r="A240" s="1" t="s">
        <v>609</v>
      </c>
      <c r="C240" s="1" t="s">
        <v>164</v>
      </c>
      <c r="E240" s="16">
        <v>167272</v>
      </c>
      <c r="G240" s="16">
        <v>0</v>
      </c>
      <c r="I240" s="16">
        <v>0</v>
      </c>
      <c r="K240" s="16">
        <v>0</v>
      </c>
      <c r="M240" s="16">
        <v>0</v>
      </c>
      <c r="O240" s="16">
        <v>9653</v>
      </c>
      <c r="Q240" s="16">
        <v>55406</v>
      </c>
      <c r="S240" s="16">
        <v>0</v>
      </c>
      <c r="U240" s="16">
        <v>764</v>
      </c>
      <c r="W240" s="16">
        <v>46</v>
      </c>
      <c r="Y240" s="16">
        <v>810</v>
      </c>
      <c r="AA240" s="16">
        <v>0</v>
      </c>
      <c r="AC240" s="16">
        <v>121</v>
      </c>
      <c r="AE240" s="16">
        <f t="shared" si="7"/>
        <v>234072</v>
      </c>
    </row>
    <row r="241" spans="1:31" ht="12.75" customHeight="1">
      <c r="A241" s="1" t="s">
        <v>238</v>
      </c>
      <c r="B241" s="1"/>
      <c r="C241" s="1" t="s">
        <v>239</v>
      </c>
      <c r="E241" s="16">
        <v>33278</v>
      </c>
      <c r="G241" s="16">
        <v>3654</v>
      </c>
      <c r="I241" s="16">
        <v>108</v>
      </c>
      <c r="K241" s="16">
        <v>0</v>
      </c>
      <c r="M241" s="16">
        <v>905</v>
      </c>
      <c r="O241" s="16">
        <v>25026</v>
      </c>
      <c r="Q241" s="16">
        <v>89497</v>
      </c>
      <c r="S241" s="16">
        <v>0</v>
      </c>
      <c r="U241" s="16">
        <v>0</v>
      </c>
      <c r="W241" s="16">
        <v>0</v>
      </c>
      <c r="Y241" s="16">
        <v>0</v>
      </c>
      <c r="AA241" s="16">
        <v>0</v>
      </c>
      <c r="AC241" s="16">
        <v>0</v>
      </c>
      <c r="AE241" s="16">
        <f t="shared" si="7"/>
        <v>152468</v>
      </c>
    </row>
    <row r="242" spans="1:31" ht="12.75" customHeight="1">
      <c r="A242" s="1" t="s">
        <v>237</v>
      </c>
      <c r="B242" s="1"/>
      <c r="C242" s="1" t="s">
        <v>231</v>
      </c>
      <c r="E242" s="16">
        <v>49446</v>
      </c>
      <c r="G242" s="16">
        <v>2017</v>
      </c>
      <c r="I242" s="16">
        <v>0</v>
      </c>
      <c r="K242" s="16">
        <v>0</v>
      </c>
      <c r="M242" s="16">
        <v>7263</v>
      </c>
      <c r="O242" s="16">
        <v>22384</v>
      </c>
      <c r="Q242" s="16">
        <v>49813</v>
      </c>
      <c r="S242" s="16">
        <v>82910</v>
      </c>
      <c r="U242" s="16">
        <v>22563</v>
      </c>
      <c r="W242" s="16">
        <v>3693</v>
      </c>
      <c r="Y242" s="16">
        <v>10122</v>
      </c>
      <c r="AA242" s="16">
        <v>0</v>
      </c>
      <c r="AC242" s="16">
        <v>0</v>
      </c>
      <c r="AE242" s="16">
        <f t="shared" si="7"/>
        <v>250211</v>
      </c>
    </row>
    <row r="243" spans="1:31" ht="12.75" customHeight="1">
      <c r="A243" s="1" t="s">
        <v>504</v>
      </c>
      <c r="C243" s="1" t="s">
        <v>414</v>
      </c>
      <c r="E243" s="16">
        <v>8238</v>
      </c>
      <c r="G243" s="16">
        <v>1054</v>
      </c>
      <c r="I243" s="16">
        <v>3451</v>
      </c>
      <c r="K243" s="16">
        <v>0</v>
      </c>
      <c r="M243" s="16">
        <v>0</v>
      </c>
      <c r="O243" s="16">
        <v>17380</v>
      </c>
      <c r="Q243" s="16">
        <v>37976</v>
      </c>
      <c r="S243" s="16">
        <v>26043</v>
      </c>
      <c r="U243" s="16">
        <v>0</v>
      </c>
      <c r="W243" s="16">
        <v>0</v>
      </c>
      <c r="Y243" s="16">
        <v>6000</v>
      </c>
      <c r="AA243" s="16">
        <v>18796</v>
      </c>
      <c r="AC243" s="16">
        <v>0</v>
      </c>
      <c r="AE243" s="16">
        <f t="shared" si="7"/>
        <v>118938</v>
      </c>
    </row>
    <row r="244" spans="1:31" ht="12.75" customHeight="1">
      <c r="A244" s="1" t="s">
        <v>627</v>
      </c>
      <c r="C244" s="1" t="s">
        <v>250</v>
      </c>
      <c r="E244" s="16">
        <v>1458</v>
      </c>
      <c r="G244" s="16">
        <v>237</v>
      </c>
      <c r="I244" s="16">
        <v>43</v>
      </c>
      <c r="K244" s="16">
        <v>0</v>
      </c>
      <c r="M244" s="16">
        <v>0</v>
      </c>
      <c r="O244" s="16">
        <v>2552</v>
      </c>
      <c r="Q244" s="16">
        <v>32281</v>
      </c>
      <c r="S244" s="16">
        <v>0</v>
      </c>
      <c r="U244" s="16">
        <v>0</v>
      </c>
      <c r="W244" s="16">
        <v>0</v>
      </c>
      <c r="Y244" s="16">
        <v>0</v>
      </c>
      <c r="AA244" s="16">
        <v>0</v>
      </c>
      <c r="AC244" s="16">
        <v>0</v>
      </c>
      <c r="AE244" s="16">
        <f t="shared" si="7"/>
        <v>36571</v>
      </c>
    </row>
    <row r="245" spans="1:31" ht="12.75" customHeight="1">
      <c r="A245" s="1" t="s">
        <v>779</v>
      </c>
      <c r="C245" s="1" t="s">
        <v>151</v>
      </c>
      <c r="E245" s="16">
        <v>4279</v>
      </c>
      <c r="G245" s="16">
        <v>1473</v>
      </c>
      <c r="I245" s="16">
        <v>6761</v>
      </c>
      <c r="K245" s="16">
        <v>0</v>
      </c>
      <c r="M245" s="16">
        <v>1059</v>
      </c>
      <c r="O245" s="16">
        <v>907</v>
      </c>
      <c r="Q245" s="16">
        <v>21456</v>
      </c>
      <c r="S245" s="16">
        <v>0</v>
      </c>
      <c r="U245" s="16">
        <v>0</v>
      </c>
      <c r="W245" s="16">
        <v>0</v>
      </c>
      <c r="Y245" s="16">
        <v>0</v>
      </c>
      <c r="AA245" s="16">
        <v>0</v>
      </c>
      <c r="AC245" s="16">
        <v>0</v>
      </c>
      <c r="AE245" s="16">
        <f t="shared" si="7"/>
        <v>35935</v>
      </c>
    </row>
    <row r="246" spans="1:31" ht="12.75" customHeight="1">
      <c r="A246" s="1" t="s">
        <v>542</v>
      </c>
      <c r="C246" s="1" t="s">
        <v>149</v>
      </c>
      <c r="E246" s="16">
        <v>32500</v>
      </c>
      <c r="G246" s="16">
        <v>0</v>
      </c>
      <c r="I246" s="16">
        <v>311</v>
      </c>
      <c r="K246" s="16">
        <v>0</v>
      </c>
      <c r="M246" s="16">
        <v>0</v>
      </c>
      <c r="O246" s="16">
        <v>7086</v>
      </c>
      <c r="Q246" s="16">
        <v>99639</v>
      </c>
      <c r="S246" s="16">
        <v>13500</v>
      </c>
      <c r="U246" s="16">
        <v>0</v>
      </c>
      <c r="W246" s="16">
        <v>101674</v>
      </c>
      <c r="Y246" s="16">
        <v>0</v>
      </c>
      <c r="AA246" s="16">
        <v>0</v>
      </c>
      <c r="AC246" s="16">
        <v>110</v>
      </c>
      <c r="AE246" s="16">
        <f t="shared" si="7"/>
        <v>254820</v>
      </c>
    </row>
    <row r="247" spans="1:31" ht="12.75" customHeight="1">
      <c r="A247" s="1" t="s">
        <v>579</v>
      </c>
      <c r="C247" s="1" t="s">
        <v>133</v>
      </c>
      <c r="E247" s="16">
        <v>6843</v>
      </c>
      <c r="G247" s="16">
        <v>322</v>
      </c>
      <c r="I247" s="16">
        <v>4134</v>
      </c>
      <c r="K247" s="16">
        <v>0</v>
      </c>
      <c r="M247" s="16">
        <v>0</v>
      </c>
      <c r="O247" s="16">
        <v>6228</v>
      </c>
      <c r="Q247" s="16">
        <v>17462</v>
      </c>
      <c r="S247" s="16">
        <v>0</v>
      </c>
      <c r="U247" s="16">
        <v>0</v>
      </c>
      <c r="W247" s="16">
        <v>0</v>
      </c>
      <c r="Y247" s="16">
        <v>0</v>
      </c>
      <c r="AA247" s="16">
        <v>0</v>
      </c>
      <c r="AC247" s="16">
        <v>696</v>
      </c>
      <c r="AE247" s="16">
        <f t="shared" si="7"/>
        <v>35685</v>
      </c>
    </row>
    <row r="248" spans="1:31" ht="12.75" customHeight="1">
      <c r="A248" s="1" t="s">
        <v>449</v>
      </c>
      <c r="C248" s="1" t="s">
        <v>447</v>
      </c>
      <c r="E248" s="16">
        <v>3925</v>
      </c>
      <c r="G248" s="16">
        <v>200</v>
      </c>
      <c r="I248" s="16">
        <v>909</v>
      </c>
      <c r="K248" s="16">
        <v>0</v>
      </c>
      <c r="M248" s="16">
        <v>270</v>
      </c>
      <c r="O248" s="16">
        <v>25719</v>
      </c>
      <c r="Q248" s="16">
        <v>35573</v>
      </c>
      <c r="S248" s="16">
        <v>18061</v>
      </c>
      <c r="U248" s="16">
        <v>0</v>
      </c>
      <c r="W248" s="16">
        <v>0</v>
      </c>
      <c r="Y248" s="16">
        <v>0</v>
      </c>
      <c r="AA248" s="16">
        <v>0</v>
      </c>
      <c r="AC248" s="16">
        <v>0</v>
      </c>
      <c r="AE248" s="16">
        <f t="shared" si="7"/>
        <v>84657</v>
      </c>
    </row>
    <row r="249" spans="1:31" ht="12.75" customHeight="1">
      <c r="A249" s="1" t="s">
        <v>240</v>
      </c>
      <c r="B249" s="1"/>
      <c r="C249" s="1" t="s">
        <v>231</v>
      </c>
      <c r="E249" s="16">
        <v>28913</v>
      </c>
      <c r="G249" s="16">
        <v>694</v>
      </c>
      <c r="I249" s="16">
        <v>0</v>
      </c>
      <c r="K249" s="16">
        <v>0</v>
      </c>
      <c r="M249" s="16">
        <v>0</v>
      </c>
      <c r="O249" s="16">
        <v>15134</v>
      </c>
      <c r="Q249" s="16">
        <v>37000</v>
      </c>
      <c r="S249" s="16">
        <v>0</v>
      </c>
      <c r="U249" s="16">
        <v>0</v>
      </c>
      <c r="W249" s="16">
        <v>0</v>
      </c>
      <c r="Y249" s="16">
        <v>0</v>
      </c>
      <c r="AA249" s="16">
        <v>0</v>
      </c>
      <c r="AC249" s="16">
        <v>0</v>
      </c>
      <c r="AE249" s="16">
        <f t="shared" si="7"/>
        <v>81741</v>
      </c>
    </row>
    <row r="250" spans="1:31" ht="12.75" customHeight="1">
      <c r="A250" s="1" t="s">
        <v>241</v>
      </c>
      <c r="B250" s="1"/>
      <c r="C250" s="1" t="s">
        <v>106</v>
      </c>
      <c r="E250" s="16">
        <v>914849</v>
      </c>
      <c r="G250" s="16">
        <v>14935</v>
      </c>
      <c r="I250" s="16">
        <v>8726</v>
      </c>
      <c r="K250" s="16">
        <v>4928</v>
      </c>
      <c r="M250" s="16">
        <v>1750</v>
      </c>
      <c r="O250" s="16">
        <v>246351</v>
      </c>
      <c r="Q250" s="16">
        <v>208788</v>
      </c>
      <c r="S250" s="16">
        <v>552749</v>
      </c>
      <c r="U250" s="16">
        <v>0</v>
      </c>
      <c r="W250" s="16">
        <v>0</v>
      </c>
      <c r="Y250" s="16">
        <v>636000</v>
      </c>
      <c r="AA250" s="16">
        <v>0</v>
      </c>
      <c r="AC250" s="16">
        <v>24438</v>
      </c>
      <c r="AE250" s="16">
        <f t="shared" si="7"/>
        <v>2613514</v>
      </c>
    </row>
    <row r="251" spans="1:31" ht="12.75" customHeight="1">
      <c r="A251" s="1" t="s">
        <v>753</v>
      </c>
      <c r="C251" s="1" t="s">
        <v>172</v>
      </c>
      <c r="E251" s="16">
        <v>125169</v>
      </c>
      <c r="G251" s="16">
        <v>180</v>
      </c>
      <c r="I251" s="16">
        <v>0</v>
      </c>
      <c r="K251" s="16">
        <v>2000</v>
      </c>
      <c r="M251" s="16">
        <v>30068</v>
      </c>
      <c r="O251" s="16">
        <v>21303</v>
      </c>
      <c r="Q251" s="16">
        <v>80183</v>
      </c>
      <c r="S251" s="16">
        <v>0</v>
      </c>
      <c r="U251" s="16">
        <v>0</v>
      </c>
      <c r="W251" s="16">
        <v>0</v>
      </c>
      <c r="Y251" s="16">
        <v>30767</v>
      </c>
      <c r="AA251" s="16">
        <v>0</v>
      </c>
      <c r="AC251" s="16">
        <v>0</v>
      </c>
      <c r="AE251" s="16">
        <f t="shared" si="7"/>
        <v>289670</v>
      </c>
    </row>
    <row r="252" spans="1:31" ht="12.75" customHeight="1">
      <c r="A252" s="1" t="s">
        <v>771</v>
      </c>
      <c r="C252" s="1" t="s">
        <v>94</v>
      </c>
      <c r="E252" s="16">
        <v>132019</v>
      </c>
      <c r="G252" s="16">
        <v>1320</v>
      </c>
      <c r="I252" s="16">
        <v>35579</v>
      </c>
      <c r="K252" s="16">
        <v>3898</v>
      </c>
      <c r="M252" s="16">
        <v>5896</v>
      </c>
      <c r="O252" s="16">
        <v>38928</v>
      </c>
      <c r="Q252" s="16">
        <v>64393</v>
      </c>
      <c r="S252" s="16">
        <v>10350</v>
      </c>
      <c r="U252" s="16">
        <v>13226</v>
      </c>
      <c r="W252" s="16">
        <v>1261</v>
      </c>
      <c r="Y252" s="16">
        <v>123842</v>
      </c>
      <c r="AA252" s="16">
        <v>0</v>
      </c>
      <c r="AC252" s="16">
        <v>0</v>
      </c>
      <c r="AE252" s="16">
        <f t="shared" si="7"/>
        <v>430712</v>
      </c>
    </row>
    <row r="253" spans="1:31" ht="12.75" customHeight="1">
      <c r="A253" s="1" t="s">
        <v>679</v>
      </c>
      <c r="C253" s="1" t="s">
        <v>82</v>
      </c>
      <c r="E253" s="16">
        <v>10871</v>
      </c>
      <c r="G253" s="16">
        <v>73</v>
      </c>
      <c r="I253" s="16">
        <v>803</v>
      </c>
      <c r="K253" s="16">
        <v>0</v>
      </c>
      <c r="M253" s="16">
        <v>0</v>
      </c>
      <c r="O253" s="16">
        <v>14070</v>
      </c>
      <c r="Q253" s="16">
        <v>25439</v>
      </c>
      <c r="S253" s="16">
        <v>0</v>
      </c>
      <c r="U253" s="16">
        <v>0</v>
      </c>
      <c r="W253" s="16">
        <v>0</v>
      </c>
      <c r="Y253" s="16">
        <v>0</v>
      </c>
      <c r="AA253" s="16">
        <v>0</v>
      </c>
      <c r="AC253" s="16">
        <v>0</v>
      </c>
      <c r="AE253" s="16">
        <f t="shared" si="7"/>
        <v>51256</v>
      </c>
    </row>
    <row r="254" spans="1:31" ht="12.75" customHeight="1">
      <c r="A254" s="1" t="s">
        <v>452</v>
      </c>
      <c r="C254" s="1" t="s">
        <v>453</v>
      </c>
      <c r="E254" s="16">
        <v>8640</v>
      </c>
      <c r="G254" s="16">
        <v>0</v>
      </c>
      <c r="I254" s="16">
        <v>0</v>
      </c>
      <c r="K254" s="16">
        <v>400</v>
      </c>
      <c r="M254" s="16">
        <v>0</v>
      </c>
      <c r="O254" s="16">
        <v>38144</v>
      </c>
      <c r="Q254" s="16">
        <v>56338</v>
      </c>
      <c r="S254" s="16">
        <v>26968</v>
      </c>
      <c r="U254" s="16">
        <v>0</v>
      </c>
      <c r="W254" s="16">
        <v>0</v>
      </c>
      <c r="Y254" s="16">
        <v>58</v>
      </c>
      <c r="AA254" s="16">
        <v>0</v>
      </c>
      <c r="AC254" s="16">
        <v>0</v>
      </c>
      <c r="AE254" s="16">
        <f t="shared" si="7"/>
        <v>130548</v>
      </c>
    </row>
    <row r="255" spans="1:31" ht="12.75" customHeight="1">
      <c r="A255" s="1" t="s">
        <v>242</v>
      </c>
      <c r="B255" s="1"/>
      <c r="C255" s="1" t="s">
        <v>231</v>
      </c>
      <c r="E255" s="16">
        <v>1214462</v>
      </c>
      <c r="G255" s="16">
        <v>1484</v>
      </c>
      <c r="I255" s="16">
        <v>44164</v>
      </c>
      <c r="K255" s="16">
        <v>101967</v>
      </c>
      <c r="M255" s="16">
        <v>0</v>
      </c>
      <c r="O255" s="16">
        <v>243590</v>
      </c>
      <c r="Q255" s="16">
        <v>341484</v>
      </c>
      <c r="S255" s="16">
        <v>2960827</v>
      </c>
      <c r="U255" s="16">
        <v>2850000</v>
      </c>
      <c r="W255" s="16">
        <v>116712</v>
      </c>
      <c r="Y255" s="16">
        <v>923083</v>
      </c>
      <c r="AA255" s="16">
        <v>0</v>
      </c>
      <c r="AC255" s="16">
        <v>182263</v>
      </c>
      <c r="AE255" s="16">
        <f t="shared" si="7"/>
        <v>8980036</v>
      </c>
    </row>
    <row r="256" spans="1:31" ht="12.75" customHeight="1">
      <c r="A256" s="1" t="s">
        <v>718</v>
      </c>
      <c r="C256" s="1" t="s">
        <v>142</v>
      </c>
      <c r="E256" s="16">
        <v>5941</v>
      </c>
      <c r="G256" s="16">
        <v>123</v>
      </c>
      <c r="I256" s="16">
        <v>9833</v>
      </c>
      <c r="K256" s="16">
        <v>839</v>
      </c>
      <c r="M256" s="16">
        <v>11395</v>
      </c>
      <c r="O256" s="16">
        <v>2797</v>
      </c>
      <c r="Q256" s="16">
        <v>22651</v>
      </c>
      <c r="S256" s="16">
        <v>0</v>
      </c>
      <c r="U256" s="16">
        <v>0</v>
      </c>
      <c r="W256" s="16">
        <v>0</v>
      </c>
      <c r="Y256" s="16">
        <v>0</v>
      </c>
      <c r="AA256" s="16">
        <v>0</v>
      </c>
      <c r="AC256" s="16">
        <v>0</v>
      </c>
      <c r="AE256" s="16">
        <f t="shared" si="7"/>
        <v>53579</v>
      </c>
    </row>
    <row r="257" spans="1:31" ht="12.75" customHeight="1">
      <c r="A257" s="1" t="s">
        <v>243</v>
      </c>
      <c r="B257" s="1"/>
      <c r="C257" s="1" t="s">
        <v>244</v>
      </c>
      <c r="E257" s="16">
        <v>627510</v>
      </c>
      <c r="G257" s="16">
        <v>13415</v>
      </c>
      <c r="I257" s="16">
        <v>117632</v>
      </c>
      <c r="K257" s="16">
        <v>32054</v>
      </c>
      <c r="M257" s="16">
        <v>12966</v>
      </c>
      <c r="O257" s="16">
        <v>146039</v>
      </c>
      <c r="Q257" s="16">
        <v>299998</v>
      </c>
      <c r="S257" s="16">
        <v>450295</v>
      </c>
      <c r="U257" s="16">
        <v>0</v>
      </c>
      <c r="W257" s="16">
        <v>0</v>
      </c>
      <c r="Y257" s="16">
        <v>429723</v>
      </c>
      <c r="AA257" s="16">
        <v>0</v>
      </c>
      <c r="AC257" s="16">
        <v>243313</v>
      </c>
      <c r="AE257" s="16">
        <f t="shared" si="7"/>
        <v>2372945</v>
      </c>
    </row>
    <row r="258" spans="1:31" ht="12.75" customHeight="1">
      <c r="A258" s="1" t="s">
        <v>245</v>
      </c>
      <c r="B258" s="1"/>
      <c r="C258" s="1" t="s">
        <v>246</v>
      </c>
      <c r="E258" s="16">
        <v>122950</v>
      </c>
      <c r="G258" s="16">
        <v>0</v>
      </c>
      <c r="I258" s="16">
        <v>0</v>
      </c>
      <c r="K258" s="16">
        <v>0</v>
      </c>
      <c r="M258" s="16">
        <v>0</v>
      </c>
      <c r="O258" s="16">
        <v>0</v>
      </c>
      <c r="Q258" s="16">
        <v>0</v>
      </c>
      <c r="S258" s="16">
        <v>0</v>
      </c>
      <c r="U258" s="16">
        <v>0</v>
      </c>
      <c r="W258" s="16">
        <v>0</v>
      </c>
      <c r="Y258" s="16">
        <v>0</v>
      </c>
      <c r="AA258" s="16">
        <v>0</v>
      </c>
      <c r="AC258" s="16">
        <v>0</v>
      </c>
      <c r="AE258" s="16">
        <f t="shared" si="7"/>
        <v>122950</v>
      </c>
    </row>
    <row r="259" spans="2:31" ht="12.75" customHeight="1">
      <c r="B259" s="1"/>
      <c r="O259" s="16"/>
      <c r="AE259" s="34" t="s">
        <v>785</v>
      </c>
    </row>
    <row r="260" spans="1:31" s="36" customFormat="1" ht="12.75" customHeight="1">
      <c r="A260" s="36" t="s">
        <v>247</v>
      </c>
      <c r="C260" s="36" t="s">
        <v>247</v>
      </c>
      <c r="E260" s="36">
        <v>3609</v>
      </c>
      <c r="G260" s="36">
        <v>368</v>
      </c>
      <c r="I260" s="36">
        <v>2590</v>
      </c>
      <c r="K260" s="36">
        <v>0</v>
      </c>
      <c r="M260" s="36">
        <v>3122</v>
      </c>
      <c r="O260" s="36">
        <v>4249</v>
      </c>
      <c r="Q260" s="36">
        <v>14823</v>
      </c>
      <c r="S260" s="36">
        <v>42866</v>
      </c>
      <c r="U260" s="36">
        <v>4450</v>
      </c>
      <c r="W260" s="36">
        <v>0</v>
      </c>
      <c r="Y260" s="36">
        <v>0</v>
      </c>
      <c r="AA260" s="36">
        <v>0</v>
      </c>
      <c r="AC260" s="36">
        <v>0</v>
      </c>
      <c r="AE260" s="36">
        <f aca="true" t="shared" si="8" ref="AE260:AE291">SUM(E260:AC260)</f>
        <v>76077</v>
      </c>
    </row>
    <row r="261" spans="1:31" ht="12.75" customHeight="1">
      <c r="A261" s="1" t="s">
        <v>730</v>
      </c>
      <c r="C261" s="1" t="s">
        <v>106</v>
      </c>
      <c r="E261" s="16">
        <v>215327</v>
      </c>
      <c r="G261" s="16">
        <v>11669</v>
      </c>
      <c r="I261" s="16">
        <v>58430</v>
      </c>
      <c r="K261" s="16">
        <v>3000</v>
      </c>
      <c r="M261" s="16">
        <v>4400</v>
      </c>
      <c r="O261" s="16">
        <v>970</v>
      </c>
      <c r="Q261" s="16">
        <v>51283</v>
      </c>
      <c r="S261" s="16">
        <v>175122</v>
      </c>
      <c r="U261" s="16">
        <v>0</v>
      </c>
      <c r="W261" s="16">
        <v>0</v>
      </c>
      <c r="Y261" s="16">
        <v>0</v>
      </c>
      <c r="AA261" s="16">
        <v>0</v>
      </c>
      <c r="AC261" s="16">
        <v>15028</v>
      </c>
      <c r="AE261" s="16">
        <f t="shared" si="8"/>
        <v>535229</v>
      </c>
    </row>
    <row r="262" spans="1:31" ht="12.75" customHeight="1">
      <c r="A262" s="1" t="s">
        <v>691</v>
      </c>
      <c r="C262" s="1" t="s">
        <v>137</v>
      </c>
      <c r="E262" s="16">
        <v>518654</v>
      </c>
      <c r="G262" s="16">
        <v>136418</v>
      </c>
      <c r="I262" s="16">
        <v>325</v>
      </c>
      <c r="K262" s="16">
        <v>2779</v>
      </c>
      <c r="M262" s="16">
        <v>3010</v>
      </c>
      <c r="O262" s="16">
        <v>88852</v>
      </c>
      <c r="Q262" s="16">
        <v>234442</v>
      </c>
      <c r="S262" s="16">
        <v>17253</v>
      </c>
      <c r="U262" s="16">
        <v>51563</v>
      </c>
      <c r="W262" s="16">
        <v>24290</v>
      </c>
      <c r="Y262" s="16">
        <v>380151</v>
      </c>
      <c r="AA262" s="16">
        <v>50000</v>
      </c>
      <c r="AC262" s="16">
        <v>2132</v>
      </c>
      <c r="AE262" s="16">
        <f t="shared" si="8"/>
        <v>1509869</v>
      </c>
    </row>
    <row r="263" spans="1:31" ht="12.75" customHeight="1">
      <c r="A263" s="1" t="s">
        <v>248</v>
      </c>
      <c r="B263" s="1"/>
      <c r="C263" s="1" t="s">
        <v>239</v>
      </c>
      <c r="E263" s="16">
        <v>106267</v>
      </c>
      <c r="G263" s="16">
        <v>0</v>
      </c>
      <c r="I263" s="16">
        <v>48340</v>
      </c>
      <c r="K263" s="16">
        <v>3498</v>
      </c>
      <c r="M263" s="16">
        <v>0</v>
      </c>
      <c r="O263" s="16">
        <v>100197</v>
      </c>
      <c r="Q263" s="16">
        <v>134012</v>
      </c>
      <c r="S263" s="16">
        <v>131622</v>
      </c>
      <c r="U263" s="16">
        <v>0</v>
      </c>
      <c r="W263" s="16">
        <v>0</v>
      </c>
      <c r="Y263" s="16">
        <v>0</v>
      </c>
      <c r="AA263" s="16">
        <v>0</v>
      </c>
      <c r="AC263" s="16">
        <v>37260</v>
      </c>
      <c r="AE263" s="16">
        <f t="shared" si="8"/>
        <v>561196</v>
      </c>
    </row>
    <row r="264" spans="1:31" ht="12.75" customHeight="1">
      <c r="A264" s="1" t="s">
        <v>782</v>
      </c>
      <c r="C264" s="1" t="s">
        <v>190</v>
      </c>
      <c r="E264" s="16">
        <v>0</v>
      </c>
      <c r="G264" s="16">
        <v>3594</v>
      </c>
      <c r="I264" s="16">
        <v>0</v>
      </c>
      <c r="K264" s="16">
        <v>0</v>
      </c>
      <c r="M264" s="16">
        <v>137785</v>
      </c>
      <c r="O264" s="16">
        <v>0</v>
      </c>
      <c r="Q264" s="16">
        <v>72390</v>
      </c>
      <c r="S264" s="16">
        <v>26908</v>
      </c>
      <c r="U264" s="16">
        <v>15853</v>
      </c>
      <c r="W264" s="16">
        <v>18000</v>
      </c>
      <c r="Y264" s="16">
        <v>33203</v>
      </c>
      <c r="AA264" s="16">
        <v>0</v>
      </c>
      <c r="AC264" s="16">
        <v>0</v>
      </c>
      <c r="AE264" s="16">
        <f t="shared" si="8"/>
        <v>307733</v>
      </c>
    </row>
    <row r="265" spans="1:31" ht="12.75" customHeight="1">
      <c r="A265" s="1" t="s">
        <v>249</v>
      </c>
      <c r="B265" s="1"/>
      <c r="C265" s="1" t="s">
        <v>250</v>
      </c>
      <c r="E265" s="16">
        <v>638672</v>
      </c>
      <c r="G265" s="16">
        <v>8109</v>
      </c>
      <c r="I265" s="16">
        <v>14084</v>
      </c>
      <c r="K265" s="16">
        <v>55342</v>
      </c>
      <c r="M265" s="16">
        <v>36045</v>
      </c>
      <c r="O265" s="16">
        <v>257502</v>
      </c>
      <c r="Q265" s="16">
        <v>365291</v>
      </c>
      <c r="S265" s="16">
        <v>1079050</v>
      </c>
      <c r="U265" s="16">
        <v>264236</v>
      </c>
      <c r="W265" s="16">
        <v>99213</v>
      </c>
      <c r="Y265" s="16">
        <v>566093</v>
      </c>
      <c r="AA265" s="16">
        <v>0</v>
      </c>
      <c r="AC265" s="16">
        <v>194966</v>
      </c>
      <c r="AE265" s="16">
        <f t="shared" si="8"/>
        <v>3578603</v>
      </c>
    </row>
    <row r="266" spans="1:31" ht="12.75" customHeight="1">
      <c r="A266" s="1" t="s">
        <v>251</v>
      </c>
      <c r="B266" s="1"/>
      <c r="C266" s="1" t="s">
        <v>78</v>
      </c>
      <c r="E266" s="16">
        <v>16587</v>
      </c>
      <c r="G266" s="16">
        <v>642</v>
      </c>
      <c r="I266" s="16">
        <v>27732</v>
      </c>
      <c r="K266" s="16">
        <v>0</v>
      </c>
      <c r="M266" s="16">
        <v>15921</v>
      </c>
      <c r="O266" s="16">
        <v>16249</v>
      </c>
      <c r="Q266" s="16">
        <v>19874</v>
      </c>
      <c r="S266" s="16">
        <v>0</v>
      </c>
      <c r="U266" s="16">
        <v>0</v>
      </c>
      <c r="W266" s="16">
        <v>0</v>
      </c>
      <c r="Y266" s="16">
        <v>0</v>
      </c>
      <c r="AA266" s="16">
        <v>0</v>
      </c>
      <c r="AC266" s="16">
        <v>0</v>
      </c>
      <c r="AE266" s="16">
        <f t="shared" si="8"/>
        <v>97005</v>
      </c>
    </row>
    <row r="267" spans="1:31" ht="12.75" customHeight="1">
      <c r="A267" s="1" t="s">
        <v>468</v>
      </c>
      <c r="C267" s="1" t="s">
        <v>100</v>
      </c>
      <c r="E267" s="16">
        <v>30955</v>
      </c>
      <c r="G267" s="16">
        <v>0</v>
      </c>
      <c r="I267" s="16">
        <v>0</v>
      </c>
      <c r="K267" s="16">
        <v>0</v>
      </c>
      <c r="M267" s="16">
        <v>3207</v>
      </c>
      <c r="O267" s="16">
        <v>32826</v>
      </c>
      <c r="Q267" s="16">
        <v>33373</v>
      </c>
      <c r="S267" s="16">
        <v>4383</v>
      </c>
      <c r="U267" s="16">
        <v>5218</v>
      </c>
      <c r="W267" s="16">
        <v>7933</v>
      </c>
      <c r="Y267" s="16">
        <v>0</v>
      </c>
      <c r="AA267" s="16">
        <v>0</v>
      </c>
      <c r="AC267" s="16">
        <v>251</v>
      </c>
      <c r="AE267" s="16">
        <f t="shared" si="8"/>
        <v>118146</v>
      </c>
    </row>
    <row r="268" spans="1:31" ht="12.75" customHeight="1">
      <c r="A268" s="1" t="s">
        <v>580</v>
      </c>
      <c r="C268" s="1" t="s">
        <v>133</v>
      </c>
      <c r="E268" s="16">
        <v>23961</v>
      </c>
      <c r="G268" s="16">
        <v>0</v>
      </c>
      <c r="I268" s="16">
        <v>6</v>
      </c>
      <c r="K268" s="16">
        <v>0</v>
      </c>
      <c r="M268" s="16">
        <v>3341</v>
      </c>
      <c r="O268" s="16">
        <v>83471</v>
      </c>
      <c r="Q268" s="16">
        <v>78067</v>
      </c>
      <c r="S268" s="16">
        <v>153710</v>
      </c>
      <c r="U268" s="16">
        <v>19596</v>
      </c>
      <c r="W268" s="16">
        <v>13461</v>
      </c>
      <c r="Y268" s="16">
        <v>30092</v>
      </c>
      <c r="AA268" s="16">
        <v>0</v>
      </c>
      <c r="AC268" s="16">
        <v>0</v>
      </c>
      <c r="AE268" s="16">
        <f t="shared" si="8"/>
        <v>405705</v>
      </c>
    </row>
    <row r="269" spans="1:31" ht="12.75" customHeight="1">
      <c r="A269" s="1" t="s">
        <v>772</v>
      </c>
      <c r="C269" s="1" t="s">
        <v>94</v>
      </c>
      <c r="E269" s="16">
        <v>4020</v>
      </c>
      <c r="G269" s="16">
        <v>102</v>
      </c>
      <c r="I269" s="16">
        <v>8986</v>
      </c>
      <c r="K269" s="16">
        <v>32</v>
      </c>
      <c r="M269" s="16">
        <v>97</v>
      </c>
      <c r="O269" s="16">
        <v>0</v>
      </c>
      <c r="Q269" s="16">
        <v>26210</v>
      </c>
      <c r="S269" s="16">
        <v>19823</v>
      </c>
      <c r="U269" s="16">
        <v>0</v>
      </c>
      <c r="W269" s="16">
        <v>0</v>
      </c>
      <c r="Y269" s="16">
        <v>0</v>
      </c>
      <c r="AA269" s="16">
        <v>0</v>
      </c>
      <c r="AC269" s="16">
        <v>0</v>
      </c>
      <c r="AE269" s="16">
        <f t="shared" si="8"/>
        <v>59270</v>
      </c>
    </row>
    <row r="270" spans="1:31" ht="12.75" customHeight="1">
      <c r="A270" s="1" t="s">
        <v>252</v>
      </c>
      <c r="B270" s="1"/>
      <c r="C270" s="1" t="s">
        <v>112</v>
      </c>
      <c r="E270" s="16">
        <v>1432099</v>
      </c>
      <c r="G270" s="16">
        <v>15986</v>
      </c>
      <c r="I270" s="16">
        <v>0</v>
      </c>
      <c r="K270" s="16">
        <v>361795</v>
      </c>
      <c r="M270" s="16">
        <v>0</v>
      </c>
      <c r="O270" s="16">
        <v>918788</v>
      </c>
      <c r="Q270" s="16">
        <v>1084355</v>
      </c>
      <c r="S270" s="16">
        <v>0</v>
      </c>
      <c r="U270" s="16">
        <v>4750000</v>
      </c>
      <c r="W270" s="16">
        <v>68875</v>
      </c>
      <c r="Y270" s="16">
        <v>0</v>
      </c>
      <c r="AA270" s="16">
        <v>0</v>
      </c>
      <c r="AC270" s="16">
        <v>0</v>
      </c>
      <c r="AE270" s="16">
        <f t="shared" si="8"/>
        <v>8631898</v>
      </c>
    </row>
    <row r="271" spans="1:31" ht="12.75" customHeight="1">
      <c r="A271" s="1" t="s">
        <v>618</v>
      </c>
      <c r="C271" s="1" t="s">
        <v>369</v>
      </c>
      <c r="E271" s="16">
        <v>59222</v>
      </c>
      <c r="G271" s="16">
        <v>0</v>
      </c>
      <c r="I271" s="16">
        <v>2379</v>
      </c>
      <c r="K271" s="16">
        <v>699</v>
      </c>
      <c r="M271" s="16">
        <v>0</v>
      </c>
      <c r="O271" s="16">
        <v>29848</v>
      </c>
      <c r="Q271" s="16">
        <v>56007</v>
      </c>
      <c r="S271" s="16">
        <v>153372</v>
      </c>
      <c r="U271" s="16">
        <v>0</v>
      </c>
      <c r="W271" s="16">
        <v>0</v>
      </c>
      <c r="Y271" s="16">
        <v>59922</v>
      </c>
      <c r="AA271" s="16">
        <v>0</v>
      </c>
      <c r="AC271" s="16">
        <v>3000</v>
      </c>
      <c r="AE271" s="16">
        <f t="shared" si="8"/>
        <v>364449</v>
      </c>
    </row>
    <row r="272" spans="1:31" ht="12.75" customHeight="1">
      <c r="A272" s="1" t="s">
        <v>600</v>
      </c>
      <c r="C272" s="1" t="s">
        <v>69</v>
      </c>
      <c r="E272" s="16">
        <v>106888</v>
      </c>
      <c r="G272" s="16">
        <v>100</v>
      </c>
      <c r="I272" s="16">
        <v>100</v>
      </c>
      <c r="K272" s="16">
        <v>0</v>
      </c>
      <c r="M272" s="16">
        <v>0</v>
      </c>
      <c r="O272" s="16">
        <v>11357</v>
      </c>
      <c r="Q272" s="16">
        <v>23872</v>
      </c>
      <c r="S272" s="16">
        <v>26509</v>
      </c>
      <c r="U272" s="16">
        <v>0</v>
      </c>
      <c r="W272" s="16">
        <v>0</v>
      </c>
      <c r="Y272" s="16">
        <v>0</v>
      </c>
      <c r="AA272" s="16">
        <v>0</v>
      </c>
      <c r="AC272" s="16">
        <v>0</v>
      </c>
      <c r="AE272" s="16">
        <f t="shared" si="8"/>
        <v>168826</v>
      </c>
    </row>
    <row r="273" spans="1:31" ht="12.75" customHeight="1">
      <c r="A273" s="1" t="s">
        <v>253</v>
      </c>
      <c r="B273" s="1"/>
      <c r="C273" s="1" t="s">
        <v>78</v>
      </c>
      <c r="E273" s="16">
        <v>26231</v>
      </c>
      <c r="G273" s="16">
        <v>0</v>
      </c>
      <c r="I273" s="16">
        <v>0</v>
      </c>
      <c r="K273" s="16">
        <v>0</v>
      </c>
      <c r="M273" s="16">
        <v>9872</v>
      </c>
      <c r="O273" s="16">
        <v>7223</v>
      </c>
      <c r="Q273" s="16">
        <v>9751</v>
      </c>
      <c r="S273" s="16">
        <v>0</v>
      </c>
      <c r="U273" s="16">
        <v>0</v>
      </c>
      <c r="W273" s="16">
        <v>0</v>
      </c>
      <c r="Y273" s="16">
        <v>0</v>
      </c>
      <c r="AA273" s="16">
        <v>0</v>
      </c>
      <c r="AC273" s="16">
        <v>0</v>
      </c>
      <c r="AE273" s="16">
        <f t="shared" si="8"/>
        <v>53077</v>
      </c>
    </row>
    <row r="274" spans="1:31" ht="12.75" customHeight="1">
      <c r="A274" s="1" t="s">
        <v>728</v>
      </c>
      <c r="C274" s="1" t="s">
        <v>131</v>
      </c>
      <c r="E274" s="16">
        <v>188084</v>
      </c>
      <c r="G274" s="16">
        <v>0</v>
      </c>
      <c r="I274" s="16">
        <v>7472</v>
      </c>
      <c r="K274" s="16">
        <v>1191</v>
      </c>
      <c r="M274" s="16">
        <v>0</v>
      </c>
      <c r="O274" s="16">
        <v>53860</v>
      </c>
      <c r="Q274" s="16">
        <v>47301</v>
      </c>
      <c r="S274" s="16">
        <v>594916</v>
      </c>
      <c r="U274" s="16">
        <v>525621</v>
      </c>
      <c r="W274" s="16">
        <v>48201</v>
      </c>
      <c r="Y274" s="16">
        <v>88177</v>
      </c>
      <c r="AA274" s="16">
        <v>0</v>
      </c>
      <c r="AC274" s="16">
        <v>332</v>
      </c>
      <c r="AE274" s="16">
        <f t="shared" si="8"/>
        <v>1555155</v>
      </c>
    </row>
    <row r="275" spans="1:31" ht="12.75" customHeight="1">
      <c r="A275" s="1" t="s">
        <v>254</v>
      </c>
      <c r="B275" s="1"/>
      <c r="C275" s="1" t="s">
        <v>71</v>
      </c>
      <c r="E275" s="16">
        <v>40993</v>
      </c>
      <c r="G275" s="16">
        <v>291</v>
      </c>
      <c r="I275" s="16">
        <v>2841</v>
      </c>
      <c r="K275" s="16">
        <v>0</v>
      </c>
      <c r="M275" s="16">
        <v>0</v>
      </c>
      <c r="O275" s="16">
        <v>16230</v>
      </c>
      <c r="Q275" s="16">
        <v>33076</v>
      </c>
      <c r="S275" s="16">
        <v>1550</v>
      </c>
      <c r="U275" s="16">
        <v>4773</v>
      </c>
      <c r="W275" s="16">
        <v>1581</v>
      </c>
      <c r="Y275" s="16">
        <v>2693</v>
      </c>
      <c r="AA275" s="16">
        <v>0</v>
      </c>
      <c r="AC275" s="16">
        <v>18106</v>
      </c>
      <c r="AE275" s="16">
        <f t="shared" si="8"/>
        <v>122134</v>
      </c>
    </row>
    <row r="276" spans="1:31" ht="12.75" customHeight="1">
      <c r="A276" s="1" t="s">
        <v>555</v>
      </c>
      <c r="C276" s="1" t="s">
        <v>157</v>
      </c>
      <c r="E276" s="16">
        <v>328322</v>
      </c>
      <c r="G276" s="16">
        <v>4415</v>
      </c>
      <c r="I276" s="16">
        <v>1336</v>
      </c>
      <c r="K276" s="16">
        <v>2820</v>
      </c>
      <c r="M276" s="16">
        <v>25020</v>
      </c>
      <c r="O276" s="16">
        <v>104452</v>
      </c>
      <c r="Q276" s="16">
        <v>228173</v>
      </c>
      <c r="S276" s="16">
        <v>0</v>
      </c>
      <c r="U276" s="16">
        <v>0</v>
      </c>
      <c r="W276" s="16">
        <v>0</v>
      </c>
      <c r="Y276" s="16">
        <v>100000</v>
      </c>
      <c r="AA276" s="16">
        <v>0</v>
      </c>
      <c r="AC276" s="16">
        <v>0</v>
      </c>
      <c r="AE276" s="16">
        <f t="shared" si="8"/>
        <v>794538</v>
      </c>
    </row>
    <row r="277" spans="1:31" ht="12.75" customHeight="1">
      <c r="A277" s="1" t="s">
        <v>255</v>
      </c>
      <c r="B277" s="1"/>
      <c r="C277" s="1" t="s">
        <v>76</v>
      </c>
      <c r="E277" s="16">
        <v>576376</v>
      </c>
      <c r="G277" s="16">
        <v>0</v>
      </c>
      <c r="I277" s="16">
        <v>291710</v>
      </c>
      <c r="K277" s="16">
        <v>17443</v>
      </c>
      <c r="M277" s="16">
        <v>0</v>
      </c>
      <c r="O277" s="16">
        <v>648446</v>
      </c>
      <c r="Q277" s="16">
        <v>380544</v>
      </c>
      <c r="S277" s="16">
        <v>0</v>
      </c>
      <c r="U277" s="16">
        <v>293169</v>
      </c>
      <c r="W277" s="16">
        <v>0</v>
      </c>
      <c r="Y277" s="16">
        <v>243052</v>
      </c>
      <c r="AA277" s="16">
        <v>0</v>
      </c>
      <c r="AC277" s="16">
        <v>3155</v>
      </c>
      <c r="AE277" s="16">
        <f t="shared" si="8"/>
        <v>2453895</v>
      </c>
    </row>
    <row r="278" spans="1:31" ht="12.75" customHeight="1">
      <c r="A278" s="1" t="s">
        <v>538</v>
      </c>
      <c r="C278" s="1" t="s">
        <v>200</v>
      </c>
      <c r="E278" s="16">
        <v>52234</v>
      </c>
      <c r="G278" s="16">
        <v>5100</v>
      </c>
      <c r="I278" s="16">
        <v>36812</v>
      </c>
      <c r="K278" s="16">
        <v>5222</v>
      </c>
      <c r="M278" s="16">
        <v>142000</v>
      </c>
      <c r="O278" s="16">
        <v>49812</v>
      </c>
      <c r="Q278" s="16">
        <v>477785</v>
      </c>
      <c r="S278" s="16">
        <v>16797</v>
      </c>
      <c r="U278" s="16">
        <v>0</v>
      </c>
      <c r="W278" s="16">
        <v>19899</v>
      </c>
      <c r="Y278" s="16">
        <v>0</v>
      </c>
      <c r="AA278" s="16">
        <v>0</v>
      </c>
      <c r="AC278" s="16">
        <v>18880</v>
      </c>
      <c r="AE278" s="16">
        <f t="shared" si="8"/>
        <v>824541</v>
      </c>
    </row>
    <row r="279" spans="1:31" ht="12.75" customHeight="1">
      <c r="A279" s="1" t="s">
        <v>256</v>
      </c>
      <c r="B279" s="1"/>
      <c r="C279" s="1" t="s">
        <v>114</v>
      </c>
      <c r="E279" s="16">
        <v>4919</v>
      </c>
      <c r="G279" s="16">
        <v>920</v>
      </c>
      <c r="I279" s="16">
        <v>18353</v>
      </c>
      <c r="K279" s="16">
        <v>8549</v>
      </c>
      <c r="M279" s="16">
        <v>10302</v>
      </c>
      <c r="O279" s="16">
        <v>14177</v>
      </c>
      <c r="Q279" s="16">
        <v>28091</v>
      </c>
      <c r="S279" s="16">
        <v>0</v>
      </c>
      <c r="U279" s="16">
        <v>0</v>
      </c>
      <c r="W279" s="16">
        <v>0</v>
      </c>
      <c r="Y279" s="16">
        <v>0</v>
      </c>
      <c r="AA279" s="16">
        <v>0</v>
      </c>
      <c r="AC279" s="16">
        <v>0</v>
      </c>
      <c r="AE279" s="16">
        <f t="shared" si="8"/>
        <v>85311</v>
      </c>
    </row>
    <row r="280" spans="1:31" ht="12.75" customHeight="1">
      <c r="A280" s="1" t="s">
        <v>257</v>
      </c>
      <c r="B280" s="1"/>
      <c r="C280" s="30" t="s">
        <v>92</v>
      </c>
      <c r="E280" s="16">
        <v>1338</v>
      </c>
      <c r="G280" s="16">
        <v>661</v>
      </c>
      <c r="I280" s="16">
        <v>8725</v>
      </c>
      <c r="K280" s="16">
        <v>100</v>
      </c>
      <c r="M280" s="16">
        <v>9305</v>
      </c>
      <c r="O280" s="16">
        <v>21716</v>
      </c>
      <c r="Q280" s="16">
        <v>39993</v>
      </c>
      <c r="S280" s="16">
        <v>173064</v>
      </c>
      <c r="U280" s="16">
        <v>5273</v>
      </c>
      <c r="W280" s="16">
        <v>611</v>
      </c>
      <c r="Y280" s="16">
        <v>598</v>
      </c>
      <c r="AA280" s="16">
        <v>0</v>
      </c>
      <c r="AC280" s="16">
        <v>4274</v>
      </c>
      <c r="AE280" s="16">
        <f t="shared" si="8"/>
        <v>265658</v>
      </c>
    </row>
    <row r="281" spans="1:31" ht="12.75" customHeight="1">
      <c r="A281" s="1" t="s">
        <v>258</v>
      </c>
      <c r="B281" s="1"/>
      <c r="C281" s="1" t="s">
        <v>94</v>
      </c>
      <c r="E281" s="16">
        <v>62950</v>
      </c>
      <c r="G281" s="16">
        <v>190</v>
      </c>
      <c r="I281" s="16">
        <v>2195</v>
      </c>
      <c r="K281" s="16">
        <v>0</v>
      </c>
      <c r="M281" s="16">
        <v>517770</v>
      </c>
      <c r="O281" s="16">
        <v>16489</v>
      </c>
      <c r="Q281" s="16">
        <v>22897</v>
      </c>
      <c r="S281" s="16">
        <v>0</v>
      </c>
      <c r="U281" s="16">
        <v>0</v>
      </c>
      <c r="W281" s="16">
        <v>0</v>
      </c>
      <c r="Y281" s="16">
        <v>0</v>
      </c>
      <c r="AA281" s="16">
        <v>0</v>
      </c>
      <c r="AC281" s="16">
        <v>0</v>
      </c>
      <c r="AE281" s="16">
        <f t="shared" si="8"/>
        <v>622491</v>
      </c>
    </row>
    <row r="282" spans="1:31" ht="12.75" customHeight="1">
      <c r="A282" s="1" t="s">
        <v>581</v>
      </c>
      <c r="C282" s="1" t="s">
        <v>133</v>
      </c>
      <c r="E282" s="16">
        <v>46011</v>
      </c>
      <c r="G282" s="16">
        <v>20</v>
      </c>
      <c r="I282" s="16">
        <v>1891</v>
      </c>
      <c r="K282" s="16">
        <v>26788</v>
      </c>
      <c r="M282" s="16">
        <v>1555</v>
      </c>
      <c r="O282" s="16">
        <v>32194</v>
      </c>
      <c r="Q282" s="16">
        <v>37348</v>
      </c>
      <c r="S282" s="16">
        <v>11926</v>
      </c>
      <c r="U282" s="16">
        <v>0</v>
      </c>
      <c r="W282" s="16">
        <v>72923</v>
      </c>
      <c r="Y282" s="16">
        <v>0</v>
      </c>
      <c r="AA282" s="16">
        <v>42530</v>
      </c>
      <c r="AC282" s="16">
        <v>520</v>
      </c>
      <c r="AE282" s="16">
        <f t="shared" si="8"/>
        <v>273706</v>
      </c>
    </row>
    <row r="283" spans="1:31" ht="12.75" customHeight="1">
      <c r="A283" s="1" t="s">
        <v>614</v>
      </c>
      <c r="C283" s="1" t="s">
        <v>231</v>
      </c>
      <c r="E283" s="16">
        <v>750500</v>
      </c>
      <c r="G283" s="16">
        <v>9750</v>
      </c>
      <c r="I283" s="16">
        <v>56144</v>
      </c>
      <c r="K283" s="16">
        <v>148582</v>
      </c>
      <c r="M283" s="16">
        <v>0</v>
      </c>
      <c r="O283" s="16">
        <v>191762</v>
      </c>
      <c r="Q283" s="16">
        <v>341800</v>
      </c>
      <c r="S283" s="16">
        <v>469049</v>
      </c>
      <c r="U283" s="16">
        <v>1205000</v>
      </c>
      <c r="W283" s="16">
        <v>43670</v>
      </c>
      <c r="Y283" s="16">
        <v>240000</v>
      </c>
      <c r="AA283" s="16">
        <v>0</v>
      </c>
      <c r="AC283" s="16">
        <v>33822</v>
      </c>
      <c r="AE283" s="16">
        <f t="shared" si="8"/>
        <v>3490079</v>
      </c>
    </row>
    <row r="284" spans="1:31" ht="12.75" customHeight="1">
      <c r="A284" s="1" t="s">
        <v>259</v>
      </c>
      <c r="B284" s="1"/>
      <c r="C284" s="1" t="s">
        <v>179</v>
      </c>
      <c r="E284" s="16">
        <v>142696</v>
      </c>
      <c r="G284" s="16">
        <v>0</v>
      </c>
      <c r="I284" s="16">
        <v>7445</v>
      </c>
      <c r="K284" s="16">
        <v>0</v>
      </c>
      <c r="M284" s="16">
        <v>0</v>
      </c>
      <c r="O284" s="16">
        <v>39793</v>
      </c>
      <c r="Q284" s="16">
        <v>47033</v>
      </c>
      <c r="S284" s="16">
        <v>26696</v>
      </c>
      <c r="U284" s="16">
        <v>19252</v>
      </c>
      <c r="W284" s="16">
        <v>2103</v>
      </c>
      <c r="Y284" s="16">
        <v>0</v>
      </c>
      <c r="AA284" s="16">
        <v>0</v>
      </c>
      <c r="AC284" s="16">
        <v>0</v>
      </c>
      <c r="AE284" s="16">
        <f t="shared" si="8"/>
        <v>285018</v>
      </c>
    </row>
    <row r="285" spans="1:31" ht="12.75" customHeight="1">
      <c r="A285" s="1" t="s">
        <v>706</v>
      </c>
      <c r="C285" s="1" t="s">
        <v>110</v>
      </c>
      <c r="E285" s="16">
        <v>123572</v>
      </c>
      <c r="G285" s="16">
        <v>679</v>
      </c>
      <c r="I285" s="16">
        <v>8291</v>
      </c>
      <c r="K285" s="16">
        <v>0</v>
      </c>
      <c r="M285" s="16">
        <v>1389</v>
      </c>
      <c r="O285" s="16">
        <v>21911</v>
      </c>
      <c r="Q285" s="16">
        <v>171909</v>
      </c>
      <c r="S285" s="16">
        <v>306008</v>
      </c>
      <c r="U285" s="16">
        <v>0</v>
      </c>
      <c r="W285" s="16">
        <v>0</v>
      </c>
      <c r="Y285" s="16">
        <v>2627</v>
      </c>
      <c r="AA285" s="16">
        <v>13000</v>
      </c>
      <c r="AC285" s="16">
        <v>0</v>
      </c>
      <c r="AE285" s="16">
        <f t="shared" si="8"/>
        <v>649386</v>
      </c>
    </row>
    <row r="286" spans="1:31" ht="12.75" customHeight="1">
      <c r="A286" s="1" t="s">
        <v>260</v>
      </c>
      <c r="B286" s="1"/>
      <c r="C286" s="1" t="s">
        <v>261</v>
      </c>
      <c r="E286" s="16">
        <v>171648</v>
      </c>
      <c r="G286" s="16">
        <v>35780</v>
      </c>
      <c r="I286" s="16">
        <v>199</v>
      </c>
      <c r="K286" s="16">
        <v>9122</v>
      </c>
      <c r="M286" s="16">
        <v>0</v>
      </c>
      <c r="O286" s="16">
        <v>199660</v>
      </c>
      <c r="Q286" s="16">
        <v>228655</v>
      </c>
      <c r="S286" s="16">
        <v>81761</v>
      </c>
      <c r="U286" s="16">
        <v>43915</v>
      </c>
      <c r="W286" s="16">
        <v>0</v>
      </c>
      <c r="Y286" s="16">
        <v>398</v>
      </c>
      <c r="AA286" s="16">
        <v>20000</v>
      </c>
      <c r="AC286" s="16">
        <v>2125</v>
      </c>
      <c r="AE286" s="16">
        <f t="shared" si="8"/>
        <v>793263</v>
      </c>
    </row>
    <row r="287" spans="1:31" ht="12.75" customHeight="1">
      <c r="A287" s="1" t="s">
        <v>262</v>
      </c>
      <c r="B287" s="1"/>
      <c r="C287" s="1" t="s">
        <v>131</v>
      </c>
      <c r="E287" s="16">
        <v>2452</v>
      </c>
      <c r="G287" s="16">
        <v>792</v>
      </c>
      <c r="I287" s="16">
        <v>1507</v>
      </c>
      <c r="K287" s="16">
        <v>114</v>
      </c>
      <c r="M287" s="16">
        <v>1391</v>
      </c>
      <c r="O287" s="16">
        <v>7564</v>
      </c>
      <c r="Q287" s="16">
        <v>11646</v>
      </c>
      <c r="S287" s="16">
        <v>0</v>
      </c>
      <c r="U287" s="16">
        <v>0</v>
      </c>
      <c r="W287" s="16">
        <v>0</v>
      </c>
      <c r="Y287" s="16">
        <v>0</v>
      </c>
      <c r="AA287" s="16">
        <v>0</v>
      </c>
      <c r="AC287" s="16">
        <v>0</v>
      </c>
      <c r="AE287" s="16">
        <f t="shared" si="8"/>
        <v>25466</v>
      </c>
    </row>
    <row r="288" spans="1:31" ht="12.75" customHeight="1">
      <c r="A288" s="1" t="s">
        <v>263</v>
      </c>
      <c r="B288" s="1"/>
      <c r="C288" s="1" t="s">
        <v>221</v>
      </c>
      <c r="E288" s="16">
        <v>13383</v>
      </c>
      <c r="G288" s="16">
        <v>3118</v>
      </c>
      <c r="I288" s="16">
        <v>11454</v>
      </c>
      <c r="K288" s="16">
        <v>0</v>
      </c>
      <c r="M288" s="16">
        <v>4725</v>
      </c>
      <c r="O288" s="16">
        <v>63184</v>
      </c>
      <c r="Q288" s="16">
        <v>30003</v>
      </c>
      <c r="S288" s="16">
        <v>0</v>
      </c>
      <c r="U288" s="16">
        <v>0</v>
      </c>
      <c r="W288" s="16">
        <v>0</v>
      </c>
      <c r="Y288" s="16">
        <v>1918</v>
      </c>
      <c r="AA288" s="16">
        <v>0</v>
      </c>
      <c r="AC288" s="16">
        <v>0</v>
      </c>
      <c r="AE288" s="16">
        <f t="shared" si="8"/>
        <v>127785</v>
      </c>
    </row>
    <row r="289" spans="1:31" ht="12.75" customHeight="1">
      <c r="A289" s="1" t="s">
        <v>264</v>
      </c>
      <c r="B289" s="1"/>
      <c r="C289" s="1" t="s">
        <v>199</v>
      </c>
      <c r="E289" s="16">
        <v>2769</v>
      </c>
      <c r="G289" s="16">
        <v>0</v>
      </c>
      <c r="I289" s="16">
        <v>0</v>
      </c>
      <c r="K289" s="16">
        <v>0</v>
      </c>
      <c r="M289" s="16">
        <v>0</v>
      </c>
      <c r="O289" s="16">
        <v>1513</v>
      </c>
      <c r="Q289" s="16">
        <v>14865</v>
      </c>
      <c r="S289" s="16">
        <v>44359</v>
      </c>
      <c r="U289" s="16">
        <v>4660</v>
      </c>
      <c r="W289" s="16">
        <v>0</v>
      </c>
      <c r="Y289" s="16">
        <v>0</v>
      </c>
      <c r="AA289" s="16">
        <v>0</v>
      </c>
      <c r="AC289" s="16">
        <v>0</v>
      </c>
      <c r="AE289" s="16">
        <f t="shared" si="8"/>
        <v>68166</v>
      </c>
    </row>
    <row r="290" spans="1:31" ht="12.75" customHeight="1">
      <c r="A290" s="1" t="s">
        <v>716</v>
      </c>
      <c r="C290" s="1" t="s">
        <v>712</v>
      </c>
      <c r="E290" s="16">
        <v>7224</v>
      </c>
      <c r="G290" s="16">
        <v>0</v>
      </c>
      <c r="I290" s="16">
        <v>3892</v>
      </c>
      <c r="K290" s="16">
        <v>1820</v>
      </c>
      <c r="M290" s="16">
        <v>29713</v>
      </c>
      <c r="O290" s="16">
        <v>7388</v>
      </c>
      <c r="Q290" s="16">
        <v>53336</v>
      </c>
      <c r="S290" s="16">
        <v>178</v>
      </c>
      <c r="U290" s="16">
        <v>0</v>
      </c>
      <c r="W290" s="16">
        <v>0</v>
      </c>
      <c r="Y290" s="16">
        <v>0</v>
      </c>
      <c r="AA290" s="16">
        <v>0</v>
      </c>
      <c r="AC290" s="16">
        <v>0</v>
      </c>
      <c r="AE290" s="16">
        <f t="shared" si="8"/>
        <v>103551</v>
      </c>
    </row>
    <row r="291" spans="1:31" ht="12.75" customHeight="1">
      <c r="A291" s="1" t="s">
        <v>623</v>
      </c>
      <c r="C291" s="1" t="s">
        <v>228</v>
      </c>
      <c r="E291" s="16">
        <v>13551</v>
      </c>
      <c r="G291" s="16">
        <v>191</v>
      </c>
      <c r="I291" s="16">
        <v>2555</v>
      </c>
      <c r="K291" s="16">
        <v>0</v>
      </c>
      <c r="M291" s="16">
        <v>17985</v>
      </c>
      <c r="O291" s="16">
        <v>6814</v>
      </c>
      <c r="Q291" s="16">
        <v>30539</v>
      </c>
      <c r="S291" s="16">
        <v>0</v>
      </c>
      <c r="U291" s="16">
        <v>1545</v>
      </c>
      <c r="W291" s="16">
        <v>774</v>
      </c>
      <c r="Y291" s="16">
        <v>0</v>
      </c>
      <c r="AA291" s="16">
        <v>0</v>
      </c>
      <c r="AC291" s="16">
        <v>0</v>
      </c>
      <c r="AE291" s="16">
        <f t="shared" si="8"/>
        <v>73954</v>
      </c>
    </row>
    <row r="292" spans="1:31" ht="12.75" customHeight="1">
      <c r="A292" s="1" t="s">
        <v>780</v>
      </c>
      <c r="C292" s="1" t="s">
        <v>151</v>
      </c>
      <c r="E292" s="16">
        <v>5092</v>
      </c>
      <c r="G292" s="16">
        <v>1105</v>
      </c>
      <c r="I292" s="16">
        <v>0</v>
      </c>
      <c r="K292" s="16">
        <v>0</v>
      </c>
      <c r="M292" s="16">
        <v>0</v>
      </c>
      <c r="O292" s="16">
        <v>1387</v>
      </c>
      <c r="Q292" s="16">
        <v>8260</v>
      </c>
      <c r="S292" s="16">
        <v>0</v>
      </c>
      <c r="U292" s="16">
        <v>0</v>
      </c>
      <c r="W292" s="16">
        <v>0</v>
      </c>
      <c r="Y292" s="16">
        <v>0</v>
      </c>
      <c r="AA292" s="16">
        <v>0</v>
      </c>
      <c r="AC292" s="16">
        <v>0</v>
      </c>
      <c r="AE292" s="16">
        <f aca="true" t="shared" si="9" ref="AE292:AE321">SUM(E292:AC292)</f>
        <v>15844</v>
      </c>
    </row>
    <row r="293" spans="1:31" ht="12.75" customHeight="1">
      <c r="A293" s="1" t="s">
        <v>615</v>
      </c>
      <c r="C293" s="1" t="s">
        <v>231</v>
      </c>
      <c r="E293" s="16">
        <v>60334</v>
      </c>
      <c r="G293" s="16">
        <v>4017</v>
      </c>
      <c r="I293" s="16">
        <v>0</v>
      </c>
      <c r="K293" s="16">
        <v>1385</v>
      </c>
      <c r="M293" s="16">
        <v>0</v>
      </c>
      <c r="O293" s="16">
        <v>33237</v>
      </c>
      <c r="Q293" s="16">
        <v>119758</v>
      </c>
      <c r="S293" s="16">
        <v>69681</v>
      </c>
      <c r="U293" s="16">
        <v>7162</v>
      </c>
      <c r="W293" s="16">
        <v>3774</v>
      </c>
      <c r="Y293" s="16">
        <v>30600</v>
      </c>
      <c r="AA293" s="16">
        <v>0</v>
      </c>
      <c r="AC293" s="16">
        <v>0</v>
      </c>
      <c r="AE293" s="16">
        <f t="shared" si="9"/>
        <v>329948</v>
      </c>
    </row>
    <row r="294" spans="1:31" ht="12.75" customHeight="1">
      <c r="A294" s="1" t="s">
        <v>265</v>
      </c>
      <c r="B294" s="1"/>
      <c r="C294" s="1" t="s">
        <v>197</v>
      </c>
      <c r="E294" s="16">
        <v>981240</v>
      </c>
      <c r="G294" s="16">
        <v>11245</v>
      </c>
      <c r="I294" s="16">
        <v>2717</v>
      </c>
      <c r="K294" s="16">
        <v>0</v>
      </c>
      <c r="M294" s="16">
        <v>63015</v>
      </c>
      <c r="O294" s="16">
        <v>490396</v>
      </c>
      <c r="Q294" s="16">
        <v>200162</v>
      </c>
      <c r="S294" s="16">
        <v>134337</v>
      </c>
      <c r="U294" s="16">
        <v>5000</v>
      </c>
      <c r="W294" s="16">
        <v>0</v>
      </c>
      <c r="Y294" s="16">
        <v>130000</v>
      </c>
      <c r="AA294" s="16">
        <v>0</v>
      </c>
      <c r="AC294" s="16">
        <v>0</v>
      </c>
      <c r="AE294" s="16">
        <f t="shared" si="9"/>
        <v>2018112</v>
      </c>
    </row>
    <row r="295" spans="1:31" ht="12.75" customHeight="1">
      <c r="A295" s="1" t="s">
        <v>450</v>
      </c>
      <c r="C295" s="1" t="s">
        <v>447</v>
      </c>
      <c r="E295" s="16">
        <v>4989</v>
      </c>
      <c r="G295" s="16">
        <v>475</v>
      </c>
      <c r="I295" s="16">
        <v>0</v>
      </c>
      <c r="K295" s="16">
        <v>1860</v>
      </c>
      <c r="M295" s="16">
        <v>0</v>
      </c>
      <c r="O295" s="16">
        <v>13033</v>
      </c>
      <c r="Q295" s="16">
        <v>31223</v>
      </c>
      <c r="S295" s="16">
        <v>18698</v>
      </c>
      <c r="U295" s="16">
        <v>0</v>
      </c>
      <c r="W295" s="16">
        <v>0</v>
      </c>
      <c r="Y295" s="16">
        <v>0</v>
      </c>
      <c r="AA295" s="16">
        <v>0</v>
      </c>
      <c r="AC295" s="16">
        <v>0</v>
      </c>
      <c r="AE295" s="16">
        <f t="shared" si="9"/>
        <v>70278</v>
      </c>
    </row>
    <row r="296" spans="1:31" ht="12.75" customHeight="1">
      <c r="A296" s="1" t="s">
        <v>624</v>
      </c>
      <c r="C296" s="1" t="s">
        <v>228</v>
      </c>
      <c r="E296" s="16">
        <v>380218</v>
      </c>
      <c r="G296" s="16">
        <v>5306</v>
      </c>
      <c r="I296" s="16">
        <v>26721</v>
      </c>
      <c r="K296" s="16">
        <v>96089</v>
      </c>
      <c r="M296" s="16">
        <v>103196</v>
      </c>
      <c r="O296" s="16">
        <v>125030</v>
      </c>
      <c r="Q296" s="16">
        <v>489408</v>
      </c>
      <c r="S296" s="16">
        <v>90065</v>
      </c>
      <c r="U296" s="16">
        <v>62988</v>
      </c>
      <c r="W296" s="16">
        <v>19210</v>
      </c>
      <c r="Y296" s="16">
        <v>82460</v>
      </c>
      <c r="AA296" s="16">
        <v>0</v>
      </c>
      <c r="AC296" s="16">
        <v>736</v>
      </c>
      <c r="AE296" s="16">
        <f t="shared" si="9"/>
        <v>1481427</v>
      </c>
    </row>
    <row r="297" spans="1:31" ht="12.75" customHeight="1">
      <c r="A297" s="1" t="s">
        <v>266</v>
      </c>
      <c r="B297" s="1"/>
      <c r="C297" s="1" t="s">
        <v>197</v>
      </c>
      <c r="E297" s="16">
        <v>41195</v>
      </c>
      <c r="G297" s="16">
        <v>0</v>
      </c>
      <c r="I297" s="16">
        <v>0</v>
      </c>
      <c r="K297" s="16">
        <v>0</v>
      </c>
      <c r="M297" s="16">
        <v>0</v>
      </c>
      <c r="O297" s="16">
        <v>0</v>
      </c>
      <c r="Q297" s="16">
        <v>10118</v>
      </c>
      <c r="S297" s="16">
        <v>0</v>
      </c>
      <c r="U297" s="16">
        <v>0</v>
      </c>
      <c r="W297" s="16">
        <v>0</v>
      </c>
      <c r="Y297" s="16">
        <v>0</v>
      </c>
      <c r="AA297" s="16">
        <v>0</v>
      </c>
      <c r="AC297" s="16">
        <v>87627</v>
      </c>
      <c r="AE297" s="16">
        <f t="shared" si="9"/>
        <v>138940</v>
      </c>
    </row>
    <row r="298" spans="1:31" ht="12.75" customHeight="1">
      <c r="A298" s="1" t="s">
        <v>619</v>
      </c>
      <c r="C298" s="1" t="s">
        <v>369</v>
      </c>
      <c r="E298" s="16">
        <v>234279</v>
      </c>
      <c r="G298" s="16">
        <v>0</v>
      </c>
      <c r="I298" s="16">
        <v>797</v>
      </c>
      <c r="K298" s="16">
        <v>10495</v>
      </c>
      <c r="M298" s="16">
        <v>5183</v>
      </c>
      <c r="O298" s="16">
        <v>58865</v>
      </c>
      <c r="Q298" s="16">
        <v>383279</v>
      </c>
      <c r="S298" s="16">
        <v>570665</v>
      </c>
      <c r="U298" s="16">
        <v>0</v>
      </c>
      <c r="W298" s="16">
        <v>0</v>
      </c>
      <c r="Y298" s="16">
        <v>0</v>
      </c>
      <c r="AA298" s="16">
        <v>0</v>
      </c>
      <c r="AC298" s="16">
        <v>0</v>
      </c>
      <c r="AE298" s="16">
        <f t="shared" si="9"/>
        <v>1263563</v>
      </c>
    </row>
    <row r="299" spans="1:31" ht="12.75" customHeight="1">
      <c r="A299" s="1" t="s">
        <v>267</v>
      </c>
      <c r="B299" s="1"/>
      <c r="C299" s="1" t="s">
        <v>268</v>
      </c>
      <c r="E299" s="16">
        <v>41951</v>
      </c>
      <c r="G299" s="16">
        <v>2606</v>
      </c>
      <c r="I299" s="16">
        <v>27644</v>
      </c>
      <c r="K299" s="16">
        <v>0</v>
      </c>
      <c r="M299" s="16">
        <v>0</v>
      </c>
      <c r="O299" s="16">
        <v>69398</v>
      </c>
      <c r="Q299" s="16">
        <v>28655</v>
      </c>
      <c r="S299" s="16">
        <v>2000</v>
      </c>
      <c r="U299" s="16">
        <v>0</v>
      </c>
      <c r="W299" s="16">
        <v>0</v>
      </c>
      <c r="Y299" s="16">
        <v>7887</v>
      </c>
      <c r="AA299" s="16">
        <v>0</v>
      </c>
      <c r="AC299" s="16">
        <v>0</v>
      </c>
      <c r="AE299" s="16">
        <f t="shared" si="9"/>
        <v>180141</v>
      </c>
    </row>
    <row r="300" spans="1:31" ht="12.75" customHeight="1">
      <c r="A300" s="1" t="s">
        <v>680</v>
      </c>
      <c r="C300" s="1" t="s">
        <v>82</v>
      </c>
      <c r="E300" s="16">
        <v>7345</v>
      </c>
      <c r="G300" s="16">
        <v>65</v>
      </c>
      <c r="I300" s="16">
        <v>0</v>
      </c>
      <c r="K300" s="16">
        <v>0</v>
      </c>
      <c r="M300" s="16">
        <v>0</v>
      </c>
      <c r="O300" s="16">
        <v>32038</v>
      </c>
      <c r="Q300" s="16">
        <v>30004</v>
      </c>
      <c r="S300" s="16">
        <v>7250</v>
      </c>
      <c r="U300" s="16">
        <v>465</v>
      </c>
      <c r="W300" s="16">
        <v>30</v>
      </c>
      <c r="Y300" s="16">
        <v>20000</v>
      </c>
      <c r="AA300" s="16">
        <v>12001</v>
      </c>
      <c r="AC300" s="16">
        <v>0</v>
      </c>
      <c r="AE300" s="16">
        <f t="shared" si="9"/>
        <v>109198</v>
      </c>
    </row>
    <row r="301" spans="1:31" ht="12.75" customHeight="1">
      <c r="A301" s="1" t="s">
        <v>655</v>
      </c>
      <c r="C301" s="1" t="s">
        <v>155</v>
      </c>
      <c r="E301" s="16">
        <v>23389</v>
      </c>
      <c r="G301" s="16">
        <v>0</v>
      </c>
      <c r="I301" s="16">
        <v>1660</v>
      </c>
      <c r="K301" s="16">
        <v>200</v>
      </c>
      <c r="M301" s="16">
        <v>3124</v>
      </c>
      <c r="O301" s="16">
        <v>8127</v>
      </c>
      <c r="Q301" s="16">
        <v>34887</v>
      </c>
      <c r="S301" s="16">
        <v>0</v>
      </c>
      <c r="U301" s="16">
        <v>2322</v>
      </c>
      <c r="W301" s="16">
        <v>0</v>
      </c>
      <c r="Y301" s="16">
        <v>0</v>
      </c>
      <c r="AA301" s="16">
        <v>0</v>
      </c>
      <c r="AC301" s="16">
        <v>640</v>
      </c>
      <c r="AE301" s="16">
        <f t="shared" si="9"/>
        <v>74349</v>
      </c>
    </row>
    <row r="302" spans="1:31" ht="12.75" customHeight="1">
      <c r="A302" s="1" t="s">
        <v>590</v>
      </c>
      <c r="C302" s="1" t="s">
        <v>591</v>
      </c>
      <c r="E302" s="16">
        <v>187196</v>
      </c>
      <c r="G302" s="16">
        <v>0</v>
      </c>
      <c r="I302" s="16">
        <v>0</v>
      </c>
      <c r="K302" s="16">
        <v>0</v>
      </c>
      <c r="M302" s="16">
        <v>50342</v>
      </c>
      <c r="O302" s="16">
        <v>30065</v>
      </c>
      <c r="Q302" s="16">
        <v>62347</v>
      </c>
      <c r="S302" s="16">
        <v>0</v>
      </c>
      <c r="U302" s="16">
        <v>0</v>
      </c>
      <c r="W302" s="16">
        <v>0</v>
      </c>
      <c r="Y302" s="16">
        <v>1000</v>
      </c>
      <c r="AA302" s="16">
        <v>27043</v>
      </c>
      <c r="AC302" s="16">
        <v>0</v>
      </c>
      <c r="AE302" s="16">
        <f t="shared" si="9"/>
        <v>357993</v>
      </c>
    </row>
    <row r="303" spans="1:31" ht="12.75" customHeight="1">
      <c r="A303" s="1" t="s">
        <v>269</v>
      </c>
      <c r="B303" s="1"/>
      <c r="C303" s="1" t="s">
        <v>194</v>
      </c>
      <c r="E303" s="16">
        <v>7177</v>
      </c>
      <c r="G303" s="16">
        <v>0</v>
      </c>
      <c r="I303" s="16">
        <v>0</v>
      </c>
      <c r="K303" s="16">
        <v>0</v>
      </c>
      <c r="M303" s="16">
        <v>37804</v>
      </c>
      <c r="O303" s="16">
        <v>2741</v>
      </c>
      <c r="Q303" s="16">
        <v>17898</v>
      </c>
      <c r="S303" s="16">
        <v>0</v>
      </c>
      <c r="U303" s="16">
        <v>0</v>
      </c>
      <c r="W303" s="16">
        <v>0</v>
      </c>
      <c r="Y303" s="16">
        <v>0</v>
      </c>
      <c r="AA303" s="16">
        <v>0</v>
      </c>
      <c r="AC303" s="16">
        <v>0</v>
      </c>
      <c r="AE303" s="16">
        <f t="shared" si="9"/>
        <v>65620</v>
      </c>
    </row>
    <row r="304" spans="1:31" ht="12.75" customHeight="1">
      <c r="A304" s="1" t="s">
        <v>588</v>
      </c>
      <c r="C304" s="1" t="s">
        <v>247</v>
      </c>
      <c r="E304" s="16">
        <v>160823</v>
      </c>
      <c r="G304" s="16">
        <v>2593</v>
      </c>
      <c r="I304" s="16">
        <v>0</v>
      </c>
      <c r="K304" s="16">
        <v>0</v>
      </c>
      <c r="M304" s="16">
        <v>132</v>
      </c>
      <c r="O304" s="16">
        <v>70603</v>
      </c>
      <c r="Q304" s="16">
        <v>127520</v>
      </c>
      <c r="S304" s="16">
        <v>20796</v>
      </c>
      <c r="U304" s="16">
        <v>0</v>
      </c>
      <c r="W304" s="16">
        <v>0</v>
      </c>
      <c r="Y304" s="16">
        <v>10922</v>
      </c>
      <c r="AA304" s="16">
        <v>0</v>
      </c>
      <c r="AC304" s="16">
        <v>102667</v>
      </c>
      <c r="AE304" s="16">
        <f t="shared" si="9"/>
        <v>496056</v>
      </c>
    </row>
    <row r="305" spans="1:31" ht="12.75" customHeight="1">
      <c r="A305" s="1" t="s">
        <v>482</v>
      </c>
      <c r="C305" s="1" t="s">
        <v>153</v>
      </c>
      <c r="E305" s="16">
        <v>3490</v>
      </c>
      <c r="G305" s="16">
        <v>954</v>
      </c>
      <c r="I305" s="16">
        <v>4759</v>
      </c>
      <c r="K305" s="16">
        <v>0</v>
      </c>
      <c r="M305" s="16">
        <v>0</v>
      </c>
      <c r="O305" s="16">
        <v>6685</v>
      </c>
      <c r="Q305" s="16">
        <v>18557</v>
      </c>
      <c r="S305" s="16">
        <v>4000</v>
      </c>
      <c r="U305" s="16">
        <v>0</v>
      </c>
      <c r="W305" s="16">
        <v>0</v>
      </c>
      <c r="Y305" s="16">
        <v>0</v>
      </c>
      <c r="AA305" s="16">
        <v>0</v>
      </c>
      <c r="AC305" s="16">
        <v>0</v>
      </c>
      <c r="AE305" s="16">
        <f t="shared" si="9"/>
        <v>38445</v>
      </c>
    </row>
    <row r="306" spans="1:31" ht="12.75" customHeight="1">
      <c r="A306" s="1" t="s">
        <v>505</v>
      </c>
      <c r="C306" s="1" t="s">
        <v>414</v>
      </c>
      <c r="E306" s="16">
        <v>343584</v>
      </c>
      <c r="G306" s="16">
        <v>32021</v>
      </c>
      <c r="I306" s="16">
        <v>9920</v>
      </c>
      <c r="K306" s="16">
        <v>0</v>
      </c>
      <c r="M306" s="16">
        <v>16134</v>
      </c>
      <c r="O306" s="16">
        <v>116647</v>
      </c>
      <c r="Q306" s="16">
        <v>134133</v>
      </c>
      <c r="S306" s="16">
        <v>70821</v>
      </c>
      <c r="U306" s="16">
        <v>27471</v>
      </c>
      <c r="W306" s="16">
        <v>5572</v>
      </c>
      <c r="Y306" s="16">
        <v>389972</v>
      </c>
      <c r="AA306" s="16">
        <v>4711</v>
      </c>
      <c r="AC306" s="16">
        <v>0</v>
      </c>
      <c r="AE306" s="16">
        <f t="shared" si="9"/>
        <v>1150986</v>
      </c>
    </row>
    <row r="307" spans="1:31" ht="12.75" customHeight="1">
      <c r="A307" s="1" t="s">
        <v>787</v>
      </c>
      <c r="B307" s="1"/>
      <c r="C307" s="1" t="s">
        <v>110</v>
      </c>
      <c r="E307" s="16">
        <v>279215</v>
      </c>
      <c r="G307" s="16">
        <v>2636</v>
      </c>
      <c r="I307" s="16">
        <v>109860</v>
      </c>
      <c r="K307" s="16">
        <v>544521</v>
      </c>
      <c r="M307" s="16">
        <v>0</v>
      </c>
      <c r="O307" s="16">
        <v>227217</v>
      </c>
      <c r="Q307" s="16">
        <v>299292</v>
      </c>
      <c r="S307" s="16">
        <v>157992</v>
      </c>
      <c r="U307" s="16">
        <v>308500</v>
      </c>
      <c r="W307" s="16">
        <v>30984</v>
      </c>
      <c r="Y307" s="16">
        <v>1005571</v>
      </c>
      <c r="AA307" s="16">
        <v>0</v>
      </c>
      <c r="AC307" s="16">
        <v>10146</v>
      </c>
      <c r="AE307" s="16">
        <f t="shared" si="9"/>
        <v>2975934</v>
      </c>
    </row>
    <row r="308" spans="1:31" ht="12.75" customHeight="1">
      <c r="A308" s="1" t="s">
        <v>224</v>
      </c>
      <c r="B308" s="1"/>
      <c r="C308" s="1" t="s">
        <v>225</v>
      </c>
      <c r="E308" s="16">
        <v>660551</v>
      </c>
      <c r="G308" s="16">
        <v>5474</v>
      </c>
      <c r="I308" s="16">
        <v>43464</v>
      </c>
      <c r="K308" s="16">
        <v>9626</v>
      </c>
      <c r="M308" s="16">
        <v>0</v>
      </c>
      <c r="O308" s="16">
        <v>116933</v>
      </c>
      <c r="Q308" s="16">
        <v>178361</v>
      </c>
      <c r="S308" s="16">
        <v>472177</v>
      </c>
      <c r="U308" s="16">
        <v>31467</v>
      </c>
      <c r="W308" s="16">
        <v>0</v>
      </c>
      <c r="Y308" s="16">
        <v>40516</v>
      </c>
      <c r="AA308" s="16">
        <v>0</v>
      </c>
      <c r="AC308" s="16">
        <v>34632</v>
      </c>
      <c r="AE308" s="16">
        <f t="shared" si="9"/>
        <v>1593201</v>
      </c>
    </row>
    <row r="309" spans="1:31" ht="12.75" customHeight="1">
      <c r="A309" s="1" t="s">
        <v>660</v>
      </c>
      <c r="C309" s="1" t="s">
        <v>80</v>
      </c>
      <c r="E309" s="16">
        <v>7059</v>
      </c>
      <c r="G309" s="16">
        <v>584</v>
      </c>
      <c r="I309" s="16">
        <v>0</v>
      </c>
      <c r="K309" s="16">
        <v>0</v>
      </c>
      <c r="M309" s="16">
        <v>2425</v>
      </c>
      <c r="O309" s="16">
        <v>19242</v>
      </c>
      <c r="Q309" s="16">
        <v>6458</v>
      </c>
      <c r="S309" s="16">
        <v>0</v>
      </c>
      <c r="U309" s="16">
        <v>0</v>
      </c>
      <c r="W309" s="16">
        <v>0</v>
      </c>
      <c r="Y309" s="16">
        <v>0</v>
      </c>
      <c r="AA309" s="16">
        <v>0</v>
      </c>
      <c r="AC309" s="16">
        <v>0</v>
      </c>
      <c r="AE309" s="16">
        <f t="shared" si="9"/>
        <v>35768</v>
      </c>
    </row>
    <row r="310" spans="1:31" ht="12.75" customHeight="1">
      <c r="A310" s="1" t="s">
        <v>270</v>
      </c>
      <c r="B310" s="1"/>
      <c r="C310" s="1" t="s">
        <v>147</v>
      </c>
      <c r="E310" s="16">
        <v>837899</v>
      </c>
      <c r="G310" s="16">
        <v>0</v>
      </c>
      <c r="I310" s="16">
        <v>187917</v>
      </c>
      <c r="K310" s="16">
        <v>104987</v>
      </c>
      <c r="M310" s="16">
        <v>0</v>
      </c>
      <c r="O310" s="16">
        <v>525491</v>
      </c>
      <c r="Q310" s="16">
        <v>555969</v>
      </c>
      <c r="S310" s="16">
        <v>296499</v>
      </c>
      <c r="U310" s="16">
        <v>264296</v>
      </c>
      <c r="W310" s="16">
        <v>99734</v>
      </c>
      <c r="Y310" s="16">
        <v>291650</v>
      </c>
      <c r="AA310" s="16">
        <v>42500</v>
      </c>
      <c r="AC310" s="16">
        <v>0</v>
      </c>
      <c r="AE310" s="16">
        <f t="shared" si="9"/>
        <v>3206942</v>
      </c>
    </row>
    <row r="311" spans="1:31" ht="12.75" customHeight="1">
      <c r="A311" s="1" t="s">
        <v>585</v>
      </c>
      <c r="C311" s="1" t="s">
        <v>239</v>
      </c>
      <c r="E311" s="16">
        <v>49973</v>
      </c>
      <c r="G311" s="16">
        <v>8863</v>
      </c>
      <c r="I311" s="16">
        <v>16402</v>
      </c>
      <c r="K311" s="16">
        <v>855</v>
      </c>
      <c r="M311" s="16">
        <v>16828</v>
      </c>
      <c r="O311" s="16">
        <v>54567</v>
      </c>
      <c r="Q311" s="16">
        <v>103178</v>
      </c>
      <c r="S311" s="16">
        <v>111122</v>
      </c>
      <c r="U311" s="16">
        <v>0</v>
      </c>
      <c r="W311" s="16">
        <v>0</v>
      </c>
      <c r="Y311" s="16">
        <v>5627</v>
      </c>
      <c r="AA311" s="16">
        <v>0</v>
      </c>
      <c r="AC311" s="16">
        <v>0</v>
      </c>
      <c r="AE311" s="16">
        <f t="shared" si="9"/>
        <v>367415</v>
      </c>
    </row>
    <row r="312" spans="1:31" ht="12.75" customHeight="1">
      <c r="A312" s="1" t="s">
        <v>731</v>
      </c>
      <c r="C312" s="1" t="s">
        <v>106</v>
      </c>
      <c r="E312" s="16">
        <v>600</v>
      </c>
      <c r="G312" s="16">
        <v>750</v>
      </c>
      <c r="I312" s="16">
        <v>3524</v>
      </c>
      <c r="K312" s="16">
        <v>0</v>
      </c>
      <c r="M312" s="16">
        <v>1344</v>
      </c>
      <c r="O312" s="16">
        <v>11668</v>
      </c>
      <c r="Q312" s="16">
        <v>8329</v>
      </c>
      <c r="S312" s="16">
        <v>0</v>
      </c>
      <c r="U312" s="16">
        <v>0</v>
      </c>
      <c r="W312" s="16">
        <v>0</v>
      </c>
      <c r="Y312" s="16">
        <v>0</v>
      </c>
      <c r="AA312" s="16">
        <v>0</v>
      </c>
      <c r="AC312" s="16">
        <v>0</v>
      </c>
      <c r="AE312" s="16">
        <f t="shared" si="9"/>
        <v>26215</v>
      </c>
    </row>
    <row r="313" spans="1:31" ht="12.75" customHeight="1">
      <c r="A313" s="1" t="s">
        <v>271</v>
      </c>
      <c r="B313" s="1"/>
      <c r="C313" s="1" t="s">
        <v>73</v>
      </c>
      <c r="E313" s="16">
        <v>982797</v>
      </c>
      <c r="G313" s="16">
        <v>1550</v>
      </c>
      <c r="I313" s="16">
        <v>17260</v>
      </c>
      <c r="K313" s="16">
        <v>104349</v>
      </c>
      <c r="M313" s="16">
        <v>120460</v>
      </c>
      <c r="O313" s="16">
        <v>121050</v>
      </c>
      <c r="Q313" s="16">
        <v>935771</v>
      </c>
      <c r="S313" s="16">
        <v>94270</v>
      </c>
      <c r="U313" s="16">
        <v>211000</v>
      </c>
      <c r="W313" s="16">
        <v>3337</v>
      </c>
      <c r="Y313" s="16">
        <v>117940</v>
      </c>
      <c r="AA313" s="16">
        <v>0</v>
      </c>
      <c r="AC313" s="16">
        <v>0</v>
      </c>
      <c r="AE313" s="16">
        <f t="shared" si="9"/>
        <v>2709784</v>
      </c>
    </row>
    <row r="314" spans="1:31" ht="12.75" customHeight="1">
      <c r="A314" s="1" t="s">
        <v>719</v>
      </c>
      <c r="C314" s="1" t="s">
        <v>142</v>
      </c>
      <c r="E314" s="16">
        <v>130654</v>
      </c>
      <c r="G314" s="16">
        <v>269</v>
      </c>
      <c r="I314" s="16">
        <v>54768</v>
      </c>
      <c r="K314" s="16">
        <v>2650</v>
      </c>
      <c r="M314" s="16">
        <v>3680</v>
      </c>
      <c r="O314" s="16">
        <v>16346</v>
      </c>
      <c r="Q314" s="16">
        <v>55040</v>
      </c>
      <c r="S314" s="16">
        <v>0</v>
      </c>
      <c r="U314" s="16">
        <v>0</v>
      </c>
      <c r="W314" s="16">
        <v>0</v>
      </c>
      <c r="Y314" s="16">
        <v>0</v>
      </c>
      <c r="AA314" s="16">
        <v>0</v>
      </c>
      <c r="AC314" s="16">
        <v>240</v>
      </c>
      <c r="AE314" s="16">
        <f t="shared" si="9"/>
        <v>263647</v>
      </c>
    </row>
    <row r="315" spans="1:31" ht="12.75" customHeight="1">
      <c r="A315" s="1" t="s">
        <v>517</v>
      </c>
      <c r="C315" s="1" t="s">
        <v>112</v>
      </c>
      <c r="E315" s="16">
        <v>506336</v>
      </c>
      <c r="G315" s="16">
        <v>181</v>
      </c>
      <c r="I315" s="16">
        <v>3109</v>
      </c>
      <c r="K315" s="16">
        <v>2430</v>
      </c>
      <c r="M315" s="16">
        <v>18696</v>
      </c>
      <c r="O315" s="16">
        <v>50880</v>
      </c>
      <c r="Q315" s="16">
        <v>470820</v>
      </c>
      <c r="S315" s="16">
        <v>0</v>
      </c>
      <c r="U315" s="16">
        <v>0</v>
      </c>
      <c r="W315" s="16">
        <v>0</v>
      </c>
      <c r="Y315" s="16">
        <v>45000</v>
      </c>
      <c r="AA315" s="16">
        <v>6800</v>
      </c>
      <c r="AC315" s="16">
        <v>0</v>
      </c>
      <c r="AE315" s="16">
        <f t="shared" si="9"/>
        <v>1104252</v>
      </c>
    </row>
    <row r="316" spans="1:31" ht="12.75" customHeight="1">
      <c r="A316" s="1" t="s">
        <v>506</v>
      </c>
      <c r="C316" s="1" t="s">
        <v>414</v>
      </c>
      <c r="E316" s="16">
        <v>680729</v>
      </c>
      <c r="G316" s="16">
        <v>128654</v>
      </c>
      <c r="I316" s="16">
        <v>16478</v>
      </c>
      <c r="K316" s="16">
        <v>39410</v>
      </c>
      <c r="M316" s="16">
        <v>0</v>
      </c>
      <c r="O316" s="16">
        <v>436658</v>
      </c>
      <c r="Q316" s="16">
        <v>282163</v>
      </c>
      <c r="S316" s="16">
        <v>162055</v>
      </c>
      <c r="U316" s="16">
        <v>85698</v>
      </c>
      <c r="W316" s="16">
        <v>15557</v>
      </c>
      <c r="Y316" s="16">
        <v>333</v>
      </c>
      <c r="AA316" s="16">
        <v>60000</v>
      </c>
      <c r="AC316" s="16">
        <v>6969</v>
      </c>
      <c r="AE316" s="16">
        <f t="shared" si="9"/>
        <v>1914704</v>
      </c>
    </row>
    <row r="317" spans="1:31" ht="12.75" customHeight="1">
      <c r="A317" s="1" t="s">
        <v>543</v>
      </c>
      <c r="C317" s="1" t="s">
        <v>149</v>
      </c>
      <c r="E317" s="16">
        <v>0</v>
      </c>
      <c r="G317" s="16">
        <v>0</v>
      </c>
      <c r="I317" s="16">
        <v>11921</v>
      </c>
      <c r="K317" s="16">
        <v>800</v>
      </c>
      <c r="M317" s="16">
        <v>10706</v>
      </c>
      <c r="O317" s="16">
        <v>11200</v>
      </c>
      <c r="Q317" s="16">
        <v>31115</v>
      </c>
      <c r="S317" s="16">
        <v>0</v>
      </c>
      <c r="U317" s="16">
        <v>0</v>
      </c>
      <c r="W317" s="16">
        <v>0</v>
      </c>
      <c r="Y317" s="16">
        <v>0</v>
      </c>
      <c r="AA317" s="16">
        <v>0</v>
      </c>
      <c r="AC317" s="16">
        <v>0</v>
      </c>
      <c r="AE317" s="16">
        <f t="shared" si="9"/>
        <v>65742</v>
      </c>
    </row>
    <row r="318" spans="1:31" ht="12.75" customHeight="1">
      <c r="A318" s="1" t="s">
        <v>272</v>
      </c>
      <c r="B318" s="1"/>
      <c r="C318" s="1" t="s">
        <v>131</v>
      </c>
      <c r="E318" s="16">
        <v>5842</v>
      </c>
      <c r="G318" s="16">
        <v>0</v>
      </c>
      <c r="I318" s="16">
        <v>2998</v>
      </c>
      <c r="K318" s="16">
        <v>0</v>
      </c>
      <c r="M318" s="16">
        <v>2114</v>
      </c>
      <c r="O318" s="16">
        <v>488</v>
      </c>
      <c r="Q318" s="16">
        <v>21746</v>
      </c>
      <c r="S318" s="16">
        <v>0</v>
      </c>
      <c r="U318" s="16">
        <v>1886</v>
      </c>
      <c r="W318" s="16">
        <v>0</v>
      </c>
      <c r="Y318" s="16">
        <v>1886</v>
      </c>
      <c r="AA318" s="16">
        <v>0</v>
      </c>
      <c r="AC318" s="16">
        <v>0</v>
      </c>
      <c r="AE318" s="16">
        <f t="shared" si="9"/>
        <v>36960</v>
      </c>
    </row>
    <row r="319" spans="1:31" ht="12.75" customHeight="1">
      <c r="A319" s="1" t="s">
        <v>568</v>
      </c>
      <c r="C319" s="1" t="s">
        <v>73</v>
      </c>
      <c r="E319" s="16">
        <v>1614177</v>
      </c>
      <c r="G319" s="16">
        <v>0</v>
      </c>
      <c r="I319" s="16">
        <v>18464</v>
      </c>
      <c r="K319" s="16">
        <v>426418</v>
      </c>
      <c r="M319" s="16">
        <v>558728</v>
      </c>
      <c r="O319" s="16">
        <v>150165</v>
      </c>
      <c r="Q319" s="16">
        <v>522764</v>
      </c>
      <c r="S319" s="16">
        <v>23426</v>
      </c>
      <c r="U319" s="16">
        <v>34001</v>
      </c>
      <c r="W319" s="16">
        <v>52723</v>
      </c>
      <c r="Y319" s="16">
        <v>270949</v>
      </c>
      <c r="AA319" s="16">
        <v>0</v>
      </c>
      <c r="AC319" s="16">
        <v>0</v>
      </c>
      <c r="AE319" s="16">
        <f t="shared" si="9"/>
        <v>3671815</v>
      </c>
    </row>
    <row r="320" spans="1:33" s="16" customFormat="1" ht="12.75" customHeight="1">
      <c r="A320" s="16" t="s">
        <v>273</v>
      </c>
      <c r="C320" s="16" t="s">
        <v>274</v>
      </c>
      <c r="E320" s="16">
        <v>449606</v>
      </c>
      <c r="G320" s="16">
        <v>0</v>
      </c>
      <c r="I320" s="16">
        <v>6425</v>
      </c>
      <c r="K320" s="16">
        <v>11175</v>
      </c>
      <c r="M320" s="16">
        <v>0</v>
      </c>
      <c r="O320" s="16">
        <v>200745</v>
      </c>
      <c r="Q320" s="16">
        <v>279065</v>
      </c>
      <c r="S320" s="16">
        <v>153899</v>
      </c>
      <c r="U320" s="16">
        <v>629531</v>
      </c>
      <c r="W320" s="16">
        <v>57946</v>
      </c>
      <c r="Y320" s="16">
        <v>0</v>
      </c>
      <c r="AA320" s="16">
        <v>0</v>
      </c>
      <c r="AC320" s="16">
        <v>441</v>
      </c>
      <c r="AE320" s="16">
        <f t="shared" si="9"/>
        <v>1788833</v>
      </c>
      <c r="AG320" s="1"/>
    </row>
    <row r="321" spans="1:31" ht="12.75" customHeight="1">
      <c r="A321" s="1" t="s">
        <v>275</v>
      </c>
      <c r="B321" s="1"/>
      <c r="C321" s="1" t="s">
        <v>276</v>
      </c>
      <c r="E321" s="16">
        <v>1163523</v>
      </c>
      <c r="G321" s="16">
        <v>33491</v>
      </c>
      <c r="I321" s="16">
        <v>172557</v>
      </c>
      <c r="K321" s="16">
        <v>109964</v>
      </c>
      <c r="M321" s="16">
        <v>0</v>
      </c>
      <c r="O321" s="16">
        <v>661397</v>
      </c>
      <c r="Q321" s="16">
        <v>764974</v>
      </c>
      <c r="S321" s="16">
        <v>1380837</v>
      </c>
      <c r="U321" s="16">
        <v>68559</v>
      </c>
      <c r="W321" s="16">
        <v>0</v>
      </c>
      <c r="Y321" s="16">
        <v>130702</v>
      </c>
      <c r="AA321" s="16">
        <v>237324</v>
      </c>
      <c r="AC321" s="16">
        <v>0</v>
      </c>
      <c r="AE321" s="16">
        <f t="shared" si="9"/>
        <v>4723328</v>
      </c>
    </row>
    <row r="322" spans="2:31" ht="12.75" customHeight="1">
      <c r="B322" s="1"/>
      <c r="O322" s="16"/>
      <c r="AE322" s="34" t="s">
        <v>785</v>
      </c>
    </row>
    <row r="323" spans="1:31" s="36" customFormat="1" ht="12.75" customHeight="1">
      <c r="A323" s="36" t="s">
        <v>559</v>
      </c>
      <c r="B323" s="42"/>
      <c r="C323" s="36" t="s">
        <v>199</v>
      </c>
      <c r="E323" s="36">
        <v>22900</v>
      </c>
      <c r="G323" s="36">
        <v>25</v>
      </c>
      <c r="I323" s="36">
        <v>2972</v>
      </c>
      <c r="K323" s="36">
        <v>0</v>
      </c>
      <c r="M323" s="36">
        <v>0</v>
      </c>
      <c r="O323" s="36">
        <v>20495</v>
      </c>
      <c r="Q323" s="36">
        <v>33296</v>
      </c>
      <c r="S323" s="36">
        <v>409</v>
      </c>
      <c r="U323" s="36">
        <v>9610</v>
      </c>
      <c r="W323" s="36">
        <v>4292</v>
      </c>
      <c r="Y323" s="36">
        <v>0</v>
      </c>
      <c r="AA323" s="36">
        <v>0</v>
      </c>
      <c r="AC323" s="36">
        <v>0</v>
      </c>
      <c r="AE323" s="36">
        <f aca="true" t="shared" si="10" ref="AE323:AE354">SUM(E323:AC323)</f>
        <v>93999</v>
      </c>
    </row>
    <row r="324" spans="1:31" ht="12.75" customHeight="1">
      <c r="A324" s="1" t="s">
        <v>757</v>
      </c>
      <c r="C324" s="1" t="s">
        <v>120</v>
      </c>
      <c r="E324" s="16">
        <v>19739</v>
      </c>
      <c r="G324" s="16">
        <v>1656</v>
      </c>
      <c r="I324" s="16">
        <v>1802</v>
      </c>
      <c r="K324" s="16">
        <v>436</v>
      </c>
      <c r="M324" s="16">
        <v>0</v>
      </c>
      <c r="O324" s="16">
        <v>14883</v>
      </c>
      <c r="Q324" s="16">
        <v>58411</v>
      </c>
      <c r="S324" s="16">
        <v>5698</v>
      </c>
      <c r="U324" s="16">
        <v>0</v>
      </c>
      <c r="W324" s="16">
        <v>0</v>
      </c>
      <c r="Y324" s="16">
        <v>1984</v>
      </c>
      <c r="AA324" s="16">
        <v>0</v>
      </c>
      <c r="AC324" s="16">
        <v>511</v>
      </c>
      <c r="AE324" s="16">
        <f t="shared" si="10"/>
        <v>105120</v>
      </c>
    </row>
    <row r="325" spans="1:31" ht="12.75" customHeight="1">
      <c r="A325" s="1" t="s">
        <v>632</v>
      </c>
      <c r="C325" s="1" t="s">
        <v>378</v>
      </c>
      <c r="E325" s="16">
        <v>257328</v>
      </c>
      <c r="G325" s="16">
        <v>5638</v>
      </c>
      <c r="I325" s="16">
        <v>0</v>
      </c>
      <c r="K325" s="16">
        <v>3016</v>
      </c>
      <c r="M325" s="16">
        <v>0</v>
      </c>
      <c r="O325" s="16">
        <v>146411</v>
      </c>
      <c r="Q325" s="16">
        <v>192864</v>
      </c>
      <c r="S325" s="16">
        <v>201492</v>
      </c>
      <c r="U325" s="16">
        <v>317027</v>
      </c>
      <c r="W325" s="16">
        <v>57310</v>
      </c>
      <c r="Y325" s="16">
        <v>36952</v>
      </c>
      <c r="AA325" s="16">
        <v>1196</v>
      </c>
      <c r="AC325" s="16">
        <v>5228</v>
      </c>
      <c r="AE325" s="16">
        <f t="shared" si="10"/>
        <v>1224462</v>
      </c>
    </row>
    <row r="326" spans="1:31" ht="12.75" customHeight="1">
      <c r="A326" s="1" t="s">
        <v>758</v>
      </c>
      <c r="C326" s="1" t="s">
        <v>120</v>
      </c>
      <c r="E326" s="16">
        <v>3002</v>
      </c>
      <c r="G326" s="16">
        <v>193</v>
      </c>
      <c r="I326" s="16">
        <v>4688</v>
      </c>
      <c r="K326" s="16">
        <v>0</v>
      </c>
      <c r="M326" s="16">
        <v>0</v>
      </c>
      <c r="O326" s="16">
        <v>12091</v>
      </c>
      <c r="Q326" s="16">
        <v>25090</v>
      </c>
      <c r="S326" s="16">
        <v>0</v>
      </c>
      <c r="U326" s="16">
        <v>0</v>
      </c>
      <c r="W326" s="16">
        <v>0</v>
      </c>
      <c r="Y326" s="16">
        <v>0</v>
      </c>
      <c r="AA326" s="16">
        <v>0</v>
      </c>
      <c r="AC326" s="16">
        <v>0</v>
      </c>
      <c r="AE326" s="16">
        <f t="shared" si="10"/>
        <v>45064</v>
      </c>
    </row>
    <row r="327" spans="1:31" ht="12.75" customHeight="1">
      <c r="A327" s="1" t="s">
        <v>250</v>
      </c>
      <c r="B327" s="1"/>
      <c r="C327" s="1" t="s">
        <v>147</v>
      </c>
      <c r="E327" s="16">
        <v>25000</v>
      </c>
      <c r="G327" s="16">
        <v>0</v>
      </c>
      <c r="I327" s="16">
        <v>0</v>
      </c>
      <c r="K327" s="16">
        <v>303</v>
      </c>
      <c r="M327" s="16">
        <v>13000</v>
      </c>
      <c r="O327" s="16">
        <v>46126</v>
      </c>
      <c r="Q327" s="16">
        <v>43513</v>
      </c>
      <c r="S327" s="16">
        <v>0</v>
      </c>
      <c r="U327" s="16">
        <v>0</v>
      </c>
      <c r="W327" s="16">
        <v>0</v>
      </c>
      <c r="Y327" s="16">
        <v>17500</v>
      </c>
      <c r="AA327" s="16">
        <v>0</v>
      </c>
      <c r="AC327" s="16">
        <v>0</v>
      </c>
      <c r="AE327" s="16">
        <f t="shared" si="10"/>
        <v>145442</v>
      </c>
    </row>
    <row r="328" spans="1:31" ht="12.75" customHeight="1">
      <c r="A328" s="1" t="s">
        <v>277</v>
      </c>
      <c r="B328" s="1"/>
      <c r="C328" s="1" t="s">
        <v>94</v>
      </c>
      <c r="E328" s="16">
        <v>77586</v>
      </c>
      <c r="G328" s="16">
        <v>824</v>
      </c>
      <c r="I328" s="16">
        <v>6310</v>
      </c>
      <c r="K328" s="16">
        <v>68049</v>
      </c>
      <c r="M328" s="16">
        <v>50079</v>
      </c>
      <c r="O328" s="16">
        <v>20435</v>
      </c>
      <c r="Q328" s="16">
        <v>71268</v>
      </c>
      <c r="S328" s="16">
        <v>151897</v>
      </c>
      <c r="U328" s="16">
        <v>29191</v>
      </c>
      <c r="W328" s="16">
        <v>24587</v>
      </c>
      <c r="Y328" s="16">
        <v>37171</v>
      </c>
      <c r="AA328" s="16">
        <v>0</v>
      </c>
      <c r="AC328" s="16">
        <v>0</v>
      </c>
      <c r="AE328" s="16">
        <f t="shared" si="10"/>
        <v>537397</v>
      </c>
    </row>
    <row r="329" spans="1:31" ht="12.75" customHeight="1">
      <c r="A329" s="1" t="s">
        <v>589</v>
      </c>
      <c r="C329" s="1" t="s">
        <v>247</v>
      </c>
      <c r="E329" s="16">
        <v>146079</v>
      </c>
      <c r="G329" s="16">
        <v>0</v>
      </c>
      <c r="I329" s="16">
        <v>38307</v>
      </c>
      <c r="K329" s="16">
        <v>0</v>
      </c>
      <c r="M329" s="16">
        <v>29415</v>
      </c>
      <c r="O329" s="16">
        <v>56844</v>
      </c>
      <c r="Q329" s="16">
        <v>79382</v>
      </c>
      <c r="S329" s="16">
        <v>16219</v>
      </c>
      <c r="U329" s="16">
        <v>86420</v>
      </c>
      <c r="W329" s="16">
        <v>94110</v>
      </c>
      <c r="Y329" s="16">
        <v>52700</v>
      </c>
      <c r="AA329" s="16">
        <v>0</v>
      </c>
      <c r="AC329" s="16">
        <v>0</v>
      </c>
      <c r="AE329" s="16">
        <f t="shared" si="10"/>
        <v>599476</v>
      </c>
    </row>
    <row r="330" spans="1:31" ht="12.75" customHeight="1">
      <c r="A330" s="1" t="s">
        <v>549</v>
      </c>
      <c r="C330" s="1" t="s">
        <v>87</v>
      </c>
      <c r="E330" s="16">
        <v>12522</v>
      </c>
      <c r="G330" s="16">
        <v>0</v>
      </c>
      <c r="I330" s="16">
        <v>16555</v>
      </c>
      <c r="K330" s="16">
        <v>511</v>
      </c>
      <c r="M330" s="16">
        <v>2585</v>
      </c>
      <c r="O330" s="16">
        <v>51327</v>
      </c>
      <c r="Q330" s="16">
        <v>69104</v>
      </c>
      <c r="S330" s="16">
        <v>0</v>
      </c>
      <c r="U330" s="16">
        <v>0</v>
      </c>
      <c r="W330" s="16">
        <v>0</v>
      </c>
      <c r="Y330" s="16">
        <v>8716</v>
      </c>
      <c r="AA330" s="16">
        <v>22162</v>
      </c>
      <c r="AC330" s="16">
        <v>0</v>
      </c>
      <c r="AE330" s="16">
        <f t="shared" si="10"/>
        <v>183482</v>
      </c>
    </row>
    <row r="331" spans="1:31" ht="12.75" customHeight="1">
      <c r="A331" s="1" t="s">
        <v>293</v>
      </c>
      <c r="C331" s="1" t="s">
        <v>197</v>
      </c>
      <c r="E331" s="16">
        <v>778848</v>
      </c>
      <c r="G331" s="16">
        <v>19768</v>
      </c>
      <c r="I331" s="16">
        <v>65722</v>
      </c>
      <c r="K331" s="16">
        <v>0</v>
      </c>
      <c r="M331" s="16">
        <v>67835</v>
      </c>
      <c r="O331" s="16">
        <v>149660</v>
      </c>
      <c r="Q331" s="16">
        <v>577396</v>
      </c>
      <c r="S331" s="16">
        <v>204071</v>
      </c>
      <c r="U331" s="16">
        <v>0</v>
      </c>
      <c r="W331" s="16">
        <v>141248</v>
      </c>
      <c r="Y331" s="16">
        <v>4427</v>
      </c>
      <c r="AA331" s="16">
        <v>0</v>
      </c>
      <c r="AC331" s="16">
        <v>0</v>
      </c>
      <c r="AE331" s="16">
        <f t="shared" si="10"/>
        <v>2008975</v>
      </c>
    </row>
    <row r="332" spans="1:31" ht="12.75" customHeight="1">
      <c r="A332" s="1" t="s">
        <v>743</v>
      </c>
      <c r="C332" s="1" t="s">
        <v>744</v>
      </c>
      <c r="E332" s="16">
        <v>0</v>
      </c>
      <c r="G332" s="16">
        <v>1450</v>
      </c>
      <c r="I332" s="16">
        <v>0</v>
      </c>
      <c r="K332" s="16">
        <v>0</v>
      </c>
      <c r="M332" s="16">
        <v>1193</v>
      </c>
      <c r="O332" s="16">
        <v>448</v>
      </c>
      <c r="Q332" s="16">
        <v>25794</v>
      </c>
      <c r="S332" s="16">
        <v>0</v>
      </c>
      <c r="U332" s="16">
        <v>0</v>
      </c>
      <c r="W332" s="16">
        <v>0</v>
      </c>
      <c r="Y332" s="16">
        <v>0</v>
      </c>
      <c r="AA332" s="16">
        <v>0</v>
      </c>
      <c r="AC332" s="16">
        <v>300</v>
      </c>
      <c r="AE332" s="16">
        <f t="shared" si="10"/>
        <v>29185</v>
      </c>
    </row>
    <row r="333" spans="1:31" ht="12.75" customHeight="1">
      <c r="A333" s="1" t="s">
        <v>278</v>
      </c>
      <c r="B333" s="1"/>
      <c r="C333" s="1" t="s">
        <v>106</v>
      </c>
      <c r="E333" s="16">
        <v>208388</v>
      </c>
      <c r="G333" s="16">
        <v>16313</v>
      </c>
      <c r="I333" s="16">
        <v>11628</v>
      </c>
      <c r="K333" s="16">
        <v>0</v>
      </c>
      <c r="M333" s="16">
        <v>7998</v>
      </c>
      <c r="O333" s="16">
        <v>42996</v>
      </c>
      <c r="Q333" s="16">
        <v>57206</v>
      </c>
      <c r="S333" s="16">
        <v>14879</v>
      </c>
      <c r="U333" s="16">
        <v>5148</v>
      </c>
      <c r="W333" s="16">
        <v>0</v>
      </c>
      <c r="Y333" s="16">
        <v>5524</v>
      </c>
      <c r="AA333" s="16">
        <v>0</v>
      </c>
      <c r="AC333" s="16">
        <v>0</v>
      </c>
      <c r="AE333" s="16">
        <f t="shared" si="10"/>
        <v>370080</v>
      </c>
    </row>
    <row r="334" spans="1:31" ht="12.75" customHeight="1">
      <c r="A334" s="1" t="s">
        <v>754</v>
      </c>
      <c r="C334" s="1" t="s">
        <v>172</v>
      </c>
      <c r="E334" s="16">
        <v>35000</v>
      </c>
      <c r="G334" s="16">
        <v>0</v>
      </c>
      <c r="I334" s="16">
        <v>144</v>
      </c>
      <c r="K334" s="16">
        <v>6766</v>
      </c>
      <c r="M334" s="16">
        <v>0</v>
      </c>
      <c r="O334" s="16">
        <v>100203</v>
      </c>
      <c r="Q334" s="16">
        <v>67683</v>
      </c>
      <c r="S334" s="16">
        <v>166536</v>
      </c>
      <c r="U334" s="16">
        <v>0</v>
      </c>
      <c r="W334" s="16">
        <v>0</v>
      </c>
      <c r="Y334" s="16">
        <v>0</v>
      </c>
      <c r="AA334" s="16">
        <v>0</v>
      </c>
      <c r="AC334" s="16">
        <v>0</v>
      </c>
      <c r="AE334" s="16">
        <f t="shared" si="10"/>
        <v>376332</v>
      </c>
    </row>
    <row r="335" spans="1:31" ht="12.75" customHeight="1">
      <c r="A335" s="1" t="s">
        <v>586</v>
      </c>
      <c r="C335" s="1" t="s">
        <v>239</v>
      </c>
      <c r="E335" s="16">
        <v>8864</v>
      </c>
      <c r="G335" s="16">
        <v>0</v>
      </c>
      <c r="I335" s="16">
        <v>2276</v>
      </c>
      <c r="K335" s="16">
        <v>700</v>
      </c>
      <c r="M335" s="16">
        <v>824</v>
      </c>
      <c r="O335" s="16">
        <v>12679</v>
      </c>
      <c r="Q335" s="16">
        <v>36534</v>
      </c>
      <c r="S335" s="16">
        <v>6456</v>
      </c>
      <c r="U335" s="16">
        <v>0</v>
      </c>
      <c r="W335" s="16">
        <v>0</v>
      </c>
      <c r="Y335" s="16">
        <v>54039</v>
      </c>
      <c r="AA335" s="16">
        <v>24500</v>
      </c>
      <c r="AC335" s="16">
        <v>845</v>
      </c>
      <c r="AE335" s="16">
        <f t="shared" si="10"/>
        <v>147717</v>
      </c>
    </row>
    <row r="336" spans="1:31" ht="12.75" customHeight="1">
      <c r="A336" s="1" t="s">
        <v>279</v>
      </c>
      <c r="B336" s="1"/>
      <c r="C336" s="1" t="s">
        <v>280</v>
      </c>
      <c r="E336" s="16">
        <v>9524</v>
      </c>
      <c r="G336" s="16">
        <v>3772</v>
      </c>
      <c r="I336" s="16">
        <v>18324</v>
      </c>
      <c r="K336" s="16">
        <v>0</v>
      </c>
      <c r="M336" s="16">
        <v>24250</v>
      </c>
      <c r="O336" s="16">
        <v>31559</v>
      </c>
      <c r="Q336" s="16">
        <v>204777</v>
      </c>
      <c r="S336" s="16">
        <v>298853</v>
      </c>
      <c r="U336" s="16">
        <v>0</v>
      </c>
      <c r="W336" s="16">
        <v>0</v>
      </c>
      <c r="Y336" s="16">
        <v>44458</v>
      </c>
      <c r="AA336" s="16">
        <v>0</v>
      </c>
      <c r="AC336" s="16">
        <v>0</v>
      </c>
      <c r="AE336" s="16">
        <f t="shared" si="10"/>
        <v>635517</v>
      </c>
    </row>
    <row r="337" spans="1:31" ht="12.75" customHeight="1">
      <c r="A337" s="1" t="s">
        <v>483</v>
      </c>
      <c r="C337" s="1" t="s">
        <v>153</v>
      </c>
      <c r="E337" s="16">
        <v>151865</v>
      </c>
      <c r="G337" s="16">
        <v>0</v>
      </c>
      <c r="I337" s="16">
        <v>25246</v>
      </c>
      <c r="K337" s="16">
        <v>0</v>
      </c>
      <c r="M337" s="16">
        <v>0</v>
      </c>
      <c r="O337" s="16">
        <v>105644</v>
      </c>
      <c r="Q337" s="16">
        <v>136034</v>
      </c>
      <c r="S337" s="16">
        <v>0</v>
      </c>
      <c r="U337" s="16">
        <v>0</v>
      </c>
      <c r="W337" s="16">
        <v>26543</v>
      </c>
      <c r="Y337" s="16">
        <v>33861</v>
      </c>
      <c r="AA337" s="16">
        <v>23200</v>
      </c>
      <c r="AC337" s="16">
        <v>0</v>
      </c>
      <c r="AE337" s="16">
        <f t="shared" si="10"/>
        <v>502393</v>
      </c>
    </row>
    <row r="338" spans="1:31" ht="12.75" customHeight="1">
      <c r="A338" s="1" t="s">
        <v>443</v>
      </c>
      <c r="C338" s="1" t="s">
        <v>346</v>
      </c>
      <c r="E338" s="16">
        <v>204850</v>
      </c>
      <c r="G338" s="16">
        <v>4337</v>
      </c>
      <c r="I338" s="16">
        <v>36878</v>
      </c>
      <c r="K338" s="16">
        <v>14894</v>
      </c>
      <c r="M338" s="16">
        <v>0</v>
      </c>
      <c r="O338" s="16">
        <v>65358</v>
      </c>
      <c r="Q338" s="16">
        <v>87383</v>
      </c>
      <c r="S338" s="16">
        <v>0</v>
      </c>
      <c r="U338" s="16">
        <v>2178</v>
      </c>
      <c r="W338" s="16">
        <v>182</v>
      </c>
      <c r="Y338" s="16">
        <v>99940</v>
      </c>
      <c r="AA338" s="16">
        <v>0</v>
      </c>
      <c r="AC338" s="16">
        <v>0</v>
      </c>
      <c r="AE338" s="16">
        <f t="shared" si="10"/>
        <v>516000</v>
      </c>
    </row>
    <row r="339" spans="1:31" ht="12.75" customHeight="1">
      <c r="A339" s="1" t="s">
        <v>692</v>
      </c>
      <c r="C339" s="1" t="s">
        <v>137</v>
      </c>
      <c r="E339" s="16">
        <v>491746</v>
      </c>
      <c r="G339" s="16">
        <v>22149</v>
      </c>
      <c r="I339" s="16">
        <v>33361</v>
      </c>
      <c r="K339" s="16">
        <v>5972</v>
      </c>
      <c r="M339" s="16">
        <v>0</v>
      </c>
      <c r="O339" s="16">
        <v>139651</v>
      </c>
      <c r="Q339" s="16">
        <v>203086</v>
      </c>
      <c r="S339" s="16">
        <v>441277</v>
      </c>
      <c r="U339" s="16">
        <v>108481</v>
      </c>
      <c r="W339" s="16">
        <v>22200</v>
      </c>
      <c r="Y339" s="16">
        <v>268277</v>
      </c>
      <c r="AA339" s="16">
        <v>37000</v>
      </c>
      <c r="AC339" s="16">
        <v>455</v>
      </c>
      <c r="AE339" s="16">
        <f t="shared" si="10"/>
        <v>1773655</v>
      </c>
    </row>
    <row r="340" spans="1:31" ht="12.75" customHeight="1">
      <c r="A340" s="1" t="s">
        <v>544</v>
      </c>
      <c r="C340" s="1" t="s">
        <v>149</v>
      </c>
      <c r="E340" s="16">
        <v>320960</v>
      </c>
      <c r="G340" s="16">
        <v>5632</v>
      </c>
      <c r="I340" s="16">
        <v>99484</v>
      </c>
      <c r="K340" s="16">
        <v>220</v>
      </c>
      <c r="M340" s="16">
        <v>113390</v>
      </c>
      <c r="O340" s="16">
        <v>28823</v>
      </c>
      <c r="Q340" s="16">
        <v>344739</v>
      </c>
      <c r="S340" s="16">
        <v>212971</v>
      </c>
      <c r="U340" s="16">
        <v>100000</v>
      </c>
      <c r="W340" s="16">
        <v>90400</v>
      </c>
      <c r="Y340" s="16">
        <v>358291</v>
      </c>
      <c r="AA340" s="16">
        <v>0</v>
      </c>
      <c r="AC340" s="16">
        <v>0</v>
      </c>
      <c r="AE340" s="16">
        <f t="shared" si="10"/>
        <v>1674910</v>
      </c>
    </row>
    <row r="341" spans="1:31" ht="12.75" customHeight="1">
      <c r="A341" s="1" t="s">
        <v>675</v>
      </c>
      <c r="C341" s="1" t="s">
        <v>215</v>
      </c>
      <c r="E341" s="16">
        <v>316871</v>
      </c>
      <c r="G341" s="16">
        <v>7685</v>
      </c>
      <c r="I341" s="16">
        <v>2262</v>
      </c>
      <c r="K341" s="16">
        <v>6125</v>
      </c>
      <c r="M341" s="16">
        <v>28138</v>
      </c>
      <c r="O341" s="16">
        <v>80824</v>
      </c>
      <c r="Q341" s="16">
        <v>154913</v>
      </c>
      <c r="S341" s="16">
        <v>8140</v>
      </c>
      <c r="U341" s="16">
        <v>27793</v>
      </c>
      <c r="W341" s="16">
        <v>4030</v>
      </c>
      <c r="Y341" s="16">
        <v>46399</v>
      </c>
      <c r="AA341" s="16">
        <v>0</v>
      </c>
      <c r="AC341" s="16">
        <v>0</v>
      </c>
      <c r="AE341" s="16">
        <f t="shared" si="10"/>
        <v>683180</v>
      </c>
    </row>
    <row r="342" spans="1:31" ht="12.75" customHeight="1">
      <c r="A342" s="1" t="s">
        <v>667</v>
      </c>
      <c r="C342" s="1" t="s">
        <v>309</v>
      </c>
      <c r="E342" s="16">
        <v>1510</v>
      </c>
      <c r="G342" s="16">
        <v>0</v>
      </c>
      <c r="I342" s="16">
        <v>0</v>
      </c>
      <c r="K342" s="16">
        <v>0</v>
      </c>
      <c r="M342" s="16">
        <v>5122</v>
      </c>
      <c r="O342" s="16">
        <v>3202</v>
      </c>
      <c r="Q342" s="16">
        <v>36338</v>
      </c>
      <c r="S342" s="16">
        <v>605</v>
      </c>
      <c r="U342" s="16">
        <v>0</v>
      </c>
      <c r="W342" s="16">
        <v>0</v>
      </c>
      <c r="Y342" s="16">
        <v>0</v>
      </c>
      <c r="AA342" s="16">
        <v>0</v>
      </c>
      <c r="AC342" s="16">
        <v>0</v>
      </c>
      <c r="AE342" s="16">
        <f t="shared" si="10"/>
        <v>46777</v>
      </c>
    </row>
    <row r="343" spans="1:31" ht="12.75" customHeight="1">
      <c r="A343" s="1" t="s">
        <v>281</v>
      </c>
      <c r="B343" s="1"/>
      <c r="C343" s="1" t="s">
        <v>73</v>
      </c>
      <c r="E343" s="16">
        <v>1749303</v>
      </c>
      <c r="G343" s="16">
        <v>5917</v>
      </c>
      <c r="I343" s="16">
        <v>683118</v>
      </c>
      <c r="K343" s="16">
        <v>80917</v>
      </c>
      <c r="M343" s="16">
        <v>312273</v>
      </c>
      <c r="O343" s="16">
        <v>109790</v>
      </c>
      <c r="Q343" s="16">
        <v>638580</v>
      </c>
      <c r="S343" s="16">
        <v>264925</v>
      </c>
      <c r="U343" s="16">
        <v>0</v>
      </c>
      <c r="W343" s="16">
        <v>0</v>
      </c>
      <c r="Y343" s="16">
        <v>0</v>
      </c>
      <c r="AA343" s="16">
        <v>0</v>
      </c>
      <c r="AC343" s="16">
        <v>0</v>
      </c>
      <c r="AE343" s="16">
        <f t="shared" si="10"/>
        <v>3844823</v>
      </c>
    </row>
    <row r="344" spans="1:31" ht="12.75" customHeight="1">
      <c r="A344" s="1" t="s">
        <v>282</v>
      </c>
      <c r="B344" s="1"/>
      <c r="C344" s="1" t="s">
        <v>120</v>
      </c>
      <c r="E344" s="16">
        <v>0</v>
      </c>
      <c r="G344" s="16">
        <v>218</v>
      </c>
      <c r="I344" s="16">
        <v>530</v>
      </c>
      <c r="K344" s="16">
        <v>0</v>
      </c>
      <c r="M344" s="16">
        <v>7478</v>
      </c>
      <c r="O344" s="16">
        <v>13845</v>
      </c>
      <c r="Q344" s="16">
        <v>22071</v>
      </c>
      <c r="S344" s="16">
        <v>0</v>
      </c>
      <c r="U344" s="16">
        <v>0</v>
      </c>
      <c r="W344" s="16">
        <v>0</v>
      </c>
      <c r="Y344" s="16">
        <v>0</v>
      </c>
      <c r="AA344" s="16">
        <v>0</v>
      </c>
      <c r="AC344" s="16">
        <v>1537</v>
      </c>
      <c r="AE344" s="16">
        <f t="shared" si="10"/>
        <v>45679</v>
      </c>
    </row>
    <row r="345" spans="1:31" ht="12.75" customHeight="1">
      <c r="A345" s="1" t="s">
        <v>283</v>
      </c>
      <c r="B345" s="1"/>
      <c r="C345" s="1" t="s">
        <v>151</v>
      </c>
      <c r="E345" s="16">
        <v>1132</v>
      </c>
      <c r="G345" s="16">
        <v>110</v>
      </c>
      <c r="I345" s="16">
        <v>0</v>
      </c>
      <c r="K345" s="16">
        <v>0</v>
      </c>
      <c r="M345" s="16">
        <v>722</v>
      </c>
      <c r="O345" s="16">
        <v>730</v>
      </c>
      <c r="Q345" s="16">
        <v>2845</v>
      </c>
      <c r="S345" s="16">
        <v>0</v>
      </c>
      <c r="U345" s="16">
        <v>0</v>
      </c>
      <c r="W345" s="16">
        <v>0</v>
      </c>
      <c r="Y345" s="16">
        <v>0</v>
      </c>
      <c r="AA345" s="16">
        <v>0</v>
      </c>
      <c r="AC345" s="16">
        <v>0</v>
      </c>
      <c r="AE345" s="16">
        <f t="shared" si="10"/>
        <v>5539</v>
      </c>
    </row>
    <row r="346" spans="1:31" ht="12.75" customHeight="1">
      <c r="A346" s="1" t="s">
        <v>284</v>
      </c>
      <c r="B346" s="1"/>
      <c r="C346" s="1" t="s">
        <v>84</v>
      </c>
      <c r="E346" s="16">
        <v>77619</v>
      </c>
      <c r="G346" s="16">
        <v>1560</v>
      </c>
      <c r="I346" s="16">
        <v>5042</v>
      </c>
      <c r="K346" s="16">
        <v>0</v>
      </c>
      <c r="M346" s="16">
        <v>598</v>
      </c>
      <c r="O346" s="16">
        <v>75398</v>
      </c>
      <c r="Q346" s="16">
        <v>159719</v>
      </c>
      <c r="S346" s="16">
        <v>39852</v>
      </c>
      <c r="U346" s="16">
        <v>0</v>
      </c>
      <c r="W346" s="16">
        <v>0</v>
      </c>
      <c r="Y346" s="16">
        <v>32281</v>
      </c>
      <c r="AA346" s="16">
        <v>0</v>
      </c>
      <c r="AC346" s="16">
        <v>14529</v>
      </c>
      <c r="AE346" s="16">
        <f t="shared" si="10"/>
        <v>406598</v>
      </c>
    </row>
    <row r="347" spans="1:31" ht="12.75" customHeight="1">
      <c r="A347" s="1" t="s">
        <v>606</v>
      </c>
      <c r="C347" s="1" t="s">
        <v>182</v>
      </c>
      <c r="E347" s="16">
        <v>0</v>
      </c>
      <c r="G347" s="16">
        <v>2710</v>
      </c>
      <c r="I347" s="16">
        <v>4401</v>
      </c>
      <c r="K347" s="16">
        <v>0</v>
      </c>
      <c r="M347" s="16">
        <v>2517</v>
      </c>
      <c r="O347" s="16">
        <v>6834</v>
      </c>
      <c r="Q347" s="16">
        <v>18870</v>
      </c>
      <c r="S347" s="16">
        <v>0</v>
      </c>
      <c r="U347" s="16">
        <v>0</v>
      </c>
      <c r="W347" s="16">
        <v>0</v>
      </c>
      <c r="Y347" s="16">
        <v>0</v>
      </c>
      <c r="AA347" s="16">
        <v>0</v>
      </c>
      <c r="AC347" s="16">
        <v>0</v>
      </c>
      <c r="AE347" s="16">
        <f t="shared" si="10"/>
        <v>35332</v>
      </c>
    </row>
    <row r="348" spans="1:31" ht="12.75" customHeight="1">
      <c r="A348" s="1" t="s">
        <v>500</v>
      </c>
      <c r="C348" s="1" t="s">
        <v>122</v>
      </c>
      <c r="E348" s="16">
        <v>17257</v>
      </c>
      <c r="G348" s="16">
        <v>0</v>
      </c>
      <c r="I348" s="16">
        <v>0</v>
      </c>
      <c r="K348" s="16">
        <v>0</v>
      </c>
      <c r="M348" s="16">
        <v>0</v>
      </c>
      <c r="O348" s="16">
        <v>2986</v>
      </c>
      <c r="Q348" s="16">
        <v>30739</v>
      </c>
      <c r="S348" s="16">
        <v>0</v>
      </c>
      <c r="U348" s="16">
        <v>0</v>
      </c>
      <c r="W348" s="16">
        <v>8991</v>
      </c>
      <c r="Y348" s="16">
        <v>0</v>
      </c>
      <c r="AA348" s="16">
        <v>0</v>
      </c>
      <c r="AC348" s="16">
        <v>0</v>
      </c>
      <c r="AE348" s="16">
        <f t="shared" si="10"/>
        <v>59973</v>
      </c>
    </row>
    <row r="349" spans="1:31" ht="12.75" customHeight="1">
      <c r="A349" s="1" t="s">
        <v>759</v>
      </c>
      <c r="C349" s="1" t="s">
        <v>120</v>
      </c>
      <c r="E349" s="16">
        <v>46729</v>
      </c>
      <c r="G349" s="16">
        <v>3356</v>
      </c>
      <c r="I349" s="16">
        <v>6362</v>
      </c>
      <c r="K349" s="16">
        <v>0</v>
      </c>
      <c r="M349" s="16">
        <v>0</v>
      </c>
      <c r="O349" s="16">
        <v>34375</v>
      </c>
      <c r="Q349" s="16">
        <v>32128</v>
      </c>
      <c r="S349" s="16">
        <v>4003</v>
      </c>
      <c r="U349" s="16">
        <v>0</v>
      </c>
      <c r="W349" s="16">
        <v>0</v>
      </c>
      <c r="Y349" s="16">
        <v>0</v>
      </c>
      <c r="AA349" s="16">
        <v>0</v>
      </c>
      <c r="AC349" s="16">
        <v>1154</v>
      </c>
      <c r="AE349" s="16">
        <f t="shared" si="10"/>
        <v>128107</v>
      </c>
    </row>
    <row r="350" spans="1:31" ht="12.75" customHeight="1">
      <c r="A350" s="1" t="s">
        <v>285</v>
      </c>
      <c r="B350" s="1"/>
      <c r="C350" s="1" t="s">
        <v>112</v>
      </c>
      <c r="E350" s="16">
        <v>4120353</v>
      </c>
      <c r="G350" s="16">
        <v>16886</v>
      </c>
      <c r="I350" s="16">
        <v>1232618</v>
      </c>
      <c r="K350" s="16">
        <v>381876</v>
      </c>
      <c r="M350" s="16">
        <v>449440</v>
      </c>
      <c r="O350" s="16">
        <v>7450458</v>
      </c>
      <c r="Q350" s="16">
        <v>1944279</v>
      </c>
      <c r="S350" s="16">
        <v>944701</v>
      </c>
      <c r="U350" s="16">
        <v>5241931</v>
      </c>
      <c r="W350" s="16">
        <v>469479</v>
      </c>
      <c r="Y350" s="16">
        <v>1975000</v>
      </c>
      <c r="AA350" s="16">
        <v>6404</v>
      </c>
      <c r="AC350" s="16">
        <v>23896</v>
      </c>
      <c r="AE350" s="16">
        <f t="shared" si="10"/>
        <v>24257321</v>
      </c>
    </row>
    <row r="351" spans="1:31" ht="12.75" customHeight="1">
      <c r="A351" s="1" t="s">
        <v>286</v>
      </c>
      <c r="B351" s="1"/>
      <c r="C351" s="1" t="s">
        <v>236</v>
      </c>
      <c r="E351" s="16">
        <v>321732</v>
      </c>
      <c r="G351" s="16">
        <v>0</v>
      </c>
      <c r="I351" s="16">
        <v>11341</v>
      </c>
      <c r="K351" s="16">
        <v>0</v>
      </c>
      <c r="M351" s="16">
        <v>0</v>
      </c>
      <c r="O351" s="16">
        <v>81221</v>
      </c>
      <c r="Q351" s="16">
        <v>91282</v>
      </c>
      <c r="S351" s="16">
        <v>0</v>
      </c>
      <c r="U351" s="16">
        <v>18145</v>
      </c>
      <c r="W351" s="16">
        <v>592</v>
      </c>
      <c r="Y351" s="16">
        <v>41622</v>
      </c>
      <c r="AA351" s="16">
        <v>0</v>
      </c>
      <c r="AC351" s="16">
        <v>309</v>
      </c>
      <c r="AE351" s="16">
        <f t="shared" si="10"/>
        <v>566244</v>
      </c>
    </row>
    <row r="352" spans="1:31" ht="12.75" customHeight="1">
      <c r="A352" s="1" t="s">
        <v>788</v>
      </c>
      <c r="C352" s="1" t="s">
        <v>239</v>
      </c>
      <c r="E352" s="16">
        <v>10631</v>
      </c>
      <c r="G352" s="16">
        <v>0</v>
      </c>
      <c r="I352" s="16">
        <v>1017</v>
      </c>
      <c r="K352" s="16">
        <v>0</v>
      </c>
      <c r="M352" s="16">
        <v>0</v>
      </c>
      <c r="O352" s="16">
        <v>9650</v>
      </c>
      <c r="Q352" s="16">
        <v>85860</v>
      </c>
      <c r="S352" s="16">
        <v>0</v>
      </c>
      <c r="U352" s="16">
        <v>0</v>
      </c>
      <c r="W352" s="16">
        <v>0</v>
      </c>
      <c r="Y352" s="16">
        <v>39563</v>
      </c>
      <c r="AA352" s="16">
        <v>0</v>
      </c>
      <c r="AC352" s="16">
        <v>776</v>
      </c>
      <c r="AE352" s="16">
        <f t="shared" si="10"/>
        <v>147497</v>
      </c>
    </row>
    <row r="353" spans="1:31" ht="12.75" customHeight="1">
      <c r="A353" s="1" t="s">
        <v>287</v>
      </c>
      <c r="B353" s="1"/>
      <c r="C353" s="1" t="s">
        <v>114</v>
      </c>
      <c r="E353" s="16">
        <v>253173</v>
      </c>
      <c r="G353" s="16">
        <v>41753</v>
      </c>
      <c r="I353" s="16">
        <v>82247</v>
      </c>
      <c r="K353" s="16">
        <v>14197</v>
      </c>
      <c r="M353" s="16">
        <v>117861</v>
      </c>
      <c r="O353" s="16">
        <v>234844</v>
      </c>
      <c r="Q353" s="16">
        <v>246114</v>
      </c>
      <c r="S353" s="16">
        <v>66148</v>
      </c>
      <c r="U353" s="16">
        <v>69815</v>
      </c>
      <c r="W353" s="16">
        <v>1662</v>
      </c>
      <c r="Y353" s="16">
        <v>8640</v>
      </c>
      <c r="AA353" s="16">
        <v>0</v>
      </c>
      <c r="AC353" s="16">
        <v>0</v>
      </c>
      <c r="AE353" s="16">
        <f t="shared" si="10"/>
        <v>1136454</v>
      </c>
    </row>
    <row r="354" spans="1:31" ht="12.75" customHeight="1">
      <c r="A354" s="1" t="s">
        <v>789</v>
      </c>
      <c r="C354" s="1" t="s">
        <v>280</v>
      </c>
      <c r="E354" s="16">
        <v>367303</v>
      </c>
      <c r="G354" s="16">
        <v>12090</v>
      </c>
      <c r="I354" s="16">
        <v>14564</v>
      </c>
      <c r="K354" s="16">
        <v>0</v>
      </c>
      <c r="M354" s="16">
        <v>504</v>
      </c>
      <c r="O354" s="16">
        <v>84347</v>
      </c>
      <c r="Q354" s="16">
        <v>195165</v>
      </c>
      <c r="S354" s="16">
        <v>82878</v>
      </c>
      <c r="U354" s="16">
        <v>0</v>
      </c>
      <c r="W354" s="16">
        <v>0</v>
      </c>
      <c r="Y354" s="16">
        <v>0</v>
      </c>
      <c r="AA354" s="16">
        <v>0</v>
      </c>
      <c r="AC354" s="16">
        <v>0</v>
      </c>
      <c r="AE354" s="16">
        <f t="shared" si="10"/>
        <v>756851</v>
      </c>
    </row>
    <row r="355" spans="1:31" ht="12.75" customHeight="1">
      <c r="A355" s="1" t="s">
        <v>288</v>
      </c>
      <c r="B355" s="1"/>
      <c r="C355" s="1" t="s">
        <v>276</v>
      </c>
      <c r="E355" s="16">
        <v>499595</v>
      </c>
      <c r="G355" s="16">
        <v>5805</v>
      </c>
      <c r="I355" s="16">
        <v>18039</v>
      </c>
      <c r="K355" s="16">
        <v>3179</v>
      </c>
      <c r="M355" s="16">
        <v>494852</v>
      </c>
      <c r="O355" s="16">
        <v>0</v>
      </c>
      <c r="Q355" s="16">
        <v>432157</v>
      </c>
      <c r="S355" s="16">
        <v>251969</v>
      </c>
      <c r="U355" s="16">
        <v>69379</v>
      </c>
      <c r="W355" s="16">
        <v>4997</v>
      </c>
      <c r="Y355" s="16">
        <v>921494</v>
      </c>
      <c r="AA355" s="16">
        <v>0</v>
      </c>
      <c r="AC355" s="16">
        <v>20697</v>
      </c>
      <c r="AE355" s="16">
        <f aca="true" t="shared" si="11" ref="AE355:AE384">SUM(E355:AC355)</f>
        <v>2722163</v>
      </c>
    </row>
    <row r="356" spans="1:31" ht="12.75" customHeight="1">
      <c r="A356" s="1" t="s">
        <v>790</v>
      </c>
      <c r="B356" s="1"/>
      <c r="C356" s="1" t="s">
        <v>65</v>
      </c>
      <c r="E356" s="16">
        <v>7691</v>
      </c>
      <c r="G356" s="16">
        <v>1448</v>
      </c>
      <c r="I356" s="16">
        <v>924</v>
      </c>
      <c r="K356" s="16">
        <v>300</v>
      </c>
      <c r="M356" s="16">
        <v>7669</v>
      </c>
      <c r="O356" s="16">
        <v>15306</v>
      </c>
      <c r="Q356" s="16">
        <v>73137</v>
      </c>
      <c r="S356" s="16">
        <v>125635</v>
      </c>
      <c r="U356" s="16">
        <v>53216</v>
      </c>
      <c r="W356" s="16">
        <v>13896</v>
      </c>
      <c r="Y356" s="16">
        <v>0</v>
      </c>
      <c r="AA356" s="16">
        <v>0</v>
      </c>
      <c r="AC356" s="16">
        <v>0</v>
      </c>
      <c r="AE356" s="16">
        <f t="shared" si="11"/>
        <v>299222</v>
      </c>
    </row>
    <row r="357" spans="1:31" ht="12.75" customHeight="1">
      <c r="A357" s="1" t="s">
        <v>681</v>
      </c>
      <c r="C357" s="1" t="s">
        <v>82</v>
      </c>
      <c r="E357" s="16">
        <v>5105</v>
      </c>
      <c r="G357" s="16">
        <v>69</v>
      </c>
      <c r="I357" s="16">
        <v>2647</v>
      </c>
      <c r="K357" s="16">
        <v>0</v>
      </c>
      <c r="M357" s="16">
        <v>0</v>
      </c>
      <c r="O357" s="16">
        <v>17131</v>
      </c>
      <c r="Q357" s="16">
        <v>16503</v>
      </c>
      <c r="S357" s="16">
        <v>532</v>
      </c>
      <c r="U357" s="16">
        <v>0</v>
      </c>
      <c r="W357" s="16">
        <v>650</v>
      </c>
      <c r="Y357" s="16">
        <v>0</v>
      </c>
      <c r="AA357" s="16">
        <v>0</v>
      </c>
      <c r="AC357" s="16">
        <v>0</v>
      </c>
      <c r="AE357" s="16">
        <f t="shared" si="11"/>
        <v>42637</v>
      </c>
    </row>
    <row r="358" spans="1:31" ht="12.75" customHeight="1">
      <c r="A358" s="1" t="s">
        <v>651</v>
      </c>
      <c r="C358" s="1" t="s">
        <v>167</v>
      </c>
      <c r="E358" s="16">
        <v>13438</v>
      </c>
      <c r="G358" s="16">
        <v>11444</v>
      </c>
      <c r="I358" s="16">
        <v>0</v>
      </c>
      <c r="K358" s="16">
        <v>0</v>
      </c>
      <c r="M358" s="16">
        <v>132</v>
      </c>
      <c r="O358" s="16">
        <v>31558</v>
      </c>
      <c r="Q358" s="16">
        <v>71874</v>
      </c>
      <c r="S358" s="16">
        <v>0</v>
      </c>
      <c r="U358" s="16">
        <v>0</v>
      </c>
      <c r="W358" s="16">
        <v>0</v>
      </c>
      <c r="Y358" s="16">
        <v>0</v>
      </c>
      <c r="AA358" s="16">
        <v>0</v>
      </c>
      <c r="AC358" s="16">
        <v>22250</v>
      </c>
      <c r="AE358" s="16">
        <f t="shared" si="11"/>
        <v>150696</v>
      </c>
    </row>
    <row r="359" spans="1:31" ht="12.75" customHeight="1">
      <c r="A359" s="1" t="s">
        <v>289</v>
      </c>
      <c r="B359" s="1"/>
      <c r="C359" s="1" t="s">
        <v>87</v>
      </c>
      <c r="E359" s="16">
        <v>12752</v>
      </c>
      <c r="G359" s="16">
        <v>0</v>
      </c>
      <c r="I359" s="16">
        <v>13951</v>
      </c>
      <c r="K359" s="16">
        <v>1407</v>
      </c>
      <c r="M359" s="16">
        <v>0</v>
      </c>
      <c r="O359" s="16">
        <v>20952</v>
      </c>
      <c r="Q359" s="16">
        <v>129071</v>
      </c>
      <c r="S359" s="16">
        <v>64599</v>
      </c>
      <c r="U359" s="16">
        <v>717</v>
      </c>
      <c r="W359" s="16">
        <v>0</v>
      </c>
      <c r="Y359" s="16">
        <v>47496</v>
      </c>
      <c r="AA359" s="16">
        <v>0</v>
      </c>
      <c r="AC359" s="16">
        <v>0</v>
      </c>
      <c r="AE359" s="16">
        <f t="shared" si="11"/>
        <v>290945</v>
      </c>
    </row>
    <row r="360" spans="1:31" ht="12.75" customHeight="1">
      <c r="A360" s="1" t="s">
        <v>732</v>
      </c>
      <c r="C360" s="1" t="s">
        <v>106</v>
      </c>
      <c r="E360" s="16">
        <v>8314</v>
      </c>
      <c r="G360" s="16">
        <v>5361</v>
      </c>
      <c r="I360" s="16">
        <v>0</v>
      </c>
      <c r="K360" s="16">
        <v>756</v>
      </c>
      <c r="M360" s="16">
        <v>14013</v>
      </c>
      <c r="O360" s="16">
        <v>0</v>
      </c>
      <c r="Q360" s="16">
        <v>48685</v>
      </c>
      <c r="S360" s="16">
        <v>49326</v>
      </c>
      <c r="U360" s="16">
        <v>0</v>
      </c>
      <c r="W360" s="16">
        <v>0</v>
      </c>
      <c r="Y360" s="16">
        <v>14987</v>
      </c>
      <c r="AA360" s="16">
        <v>0</v>
      </c>
      <c r="AC360" s="16">
        <v>0</v>
      </c>
      <c r="AE360" s="16">
        <f t="shared" si="11"/>
        <v>141442</v>
      </c>
    </row>
    <row r="361" spans="1:31" ht="12.75" customHeight="1">
      <c r="A361" s="1" t="s">
        <v>749</v>
      </c>
      <c r="C361" s="1" t="s">
        <v>192</v>
      </c>
      <c r="E361" s="16">
        <v>104305</v>
      </c>
      <c r="G361" s="16">
        <v>4114</v>
      </c>
      <c r="I361" s="16">
        <v>0</v>
      </c>
      <c r="K361" s="16">
        <v>5498</v>
      </c>
      <c r="M361" s="16">
        <v>0</v>
      </c>
      <c r="O361" s="16">
        <v>23752</v>
      </c>
      <c r="Q361" s="16">
        <v>91702</v>
      </c>
      <c r="S361" s="16">
        <v>0</v>
      </c>
      <c r="U361" s="16">
        <v>1710</v>
      </c>
      <c r="W361" s="16">
        <v>6278</v>
      </c>
      <c r="Y361" s="16">
        <v>0</v>
      </c>
      <c r="AA361" s="16">
        <v>0</v>
      </c>
      <c r="AC361" s="16">
        <v>0</v>
      </c>
      <c r="AE361" s="16">
        <f t="shared" si="11"/>
        <v>237359</v>
      </c>
    </row>
    <row r="362" spans="1:31" ht="12.75" customHeight="1">
      <c r="A362" s="1" t="s">
        <v>290</v>
      </c>
      <c r="B362" s="1"/>
      <c r="C362" s="1" t="s">
        <v>291</v>
      </c>
      <c r="E362" s="16">
        <v>920659</v>
      </c>
      <c r="G362" s="16">
        <v>60170</v>
      </c>
      <c r="I362" s="16">
        <v>279054</v>
      </c>
      <c r="K362" s="16">
        <v>173285</v>
      </c>
      <c r="M362" s="16">
        <v>18352</v>
      </c>
      <c r="O362" s="16">
        <v>1906052</v>
      </c>
      <c r="Q362" s="16">
        <v>770126</v>
      </c>
      <c r="S362" s="16">
        <v>53120</v>
      </c>
      <c r="U362" s="16">
        <v>1428842</v>
      </c>
      <c r="W362" s="16">
        <v>28000</v>
      </c>
      <c r="Y362" s="16">
        <v>818999</v>
      </c>
      <c r="AA362" s="16">
        <v>0</v>
      </c>
      <c r="AC362" s="16">
        <v>0</v>
      </c>
      <c r="AE362" s="16">
        <f t="shared" si="11"/>
        <v>6456659</v>
      </c>
    </row>
    <row r="363" spans="1:31" ht="12.75" customHeight="1">
      <c r="A363" s="1" t="s">
        <v>646</v>
      </c>
      <c r="C363" s="1" t="s">
        <v>372</v>
      </c>
      <c r="E363" s="16">
        <v>318655</v>
      </c>
      <c r="G363" s="16">
        <v>0</v>
      </c>
      <c r="I363" s="16">
        <v>0</v>
      </c>
      <c r="K363" s="16">
        <v>0</v>
      </c>
      <c r="M363" s="16">
        <v>114724</v>
      </c>
      <c r="O363" s="16">
        <v>85062</v>
      </c>
      <c r="Q363" s="16">
        <v>189571</v>
      </c>
      <c r="S363" s="16">
        <v>56250</v>
      </c>
      <c r="U363" s="16">
        <v>51644</v>
      </c>
      <c r="W363" s="16">
        <v>14241</v>
      </c>
      <c r="Y363" s="16">
        <v>17564</v>
      </c>
      <c r="AA363" s="16">
        <v>0</v>
      </c>
      <c r="AC363" s="16">
        <v>21504</v>
      </c>
      <c r="AE363" s="16">
        <f t="shared" si="11"/>
        <v>869215</v>
      </c>
    </row>
    <row r="364" spans="1:31" ht="12.75" customHeight="1">
      <c r="A364" s="1" t="s">
        <v>739</v>
      </c>
      <c r="C364" s="1" t="s">
        <v>96</v>
      </c>
      <c r="E364" s="16">
        <v>78636</v>
      </c>
      <c r="G364" s="16">
        <v>2755</v>
      </c>
      <c r="I364" s="16">
        <v>14021</v>
      </c>
      <c r="K364" s="16">
        <v>0</v>
      </c>
      <c r="M364" s="16">
        <v>15750</v>
      </c>
      <c r="O364" s="16">
        <v>108474</v>
      </c>
      <c r="Q364" s="16">
        <v>107249</v>
      </c>
      <c r="S364" s="16">
        <v>0</v>
      </c>
      <c r="U364" s="16">
        <v>0</v>
      </c>
      <c r="W364" s="16">
        <v>0</v>
      </c>
      <c r="Y364" s="16">
        <v>19000</v>
      </c>
      <c r="AA364" s="16">
        <v>0</v>
      </c>
      <c r="AC364" s="16">
        <v>0</v>
      </c>
      <c r="AE364" s="16">
        <f t="shared" si="11"/>
        <v>345885</v>
      </c>
    </row>
    <row r="365" spans="1:31" ht="12.75" customHeight="1">
      <c r="A365" s="1" t="s">
        <v>292</v>
      </c>
      <c r="B365" s="1"/>
      <c r="C365" s="1" t="s">
        <v>293</v>
      </c>
      <c r="E365" s="16">
        <v>6988</v>
      </c>
      <c r="G365" s="16">
        <v>0</v>
      </c>
      <c r="I365" s="16">
        <v>15831</v>
      </c>
      <c r="K365" s="16">
        <v>0</v>
      </c>
      <c r="M365" s="16">
        <v>3822</v>
      </c>
      <c r="O365" s="16">
        <v>11651</v>
      </c>
      <c r="Q365" s="16">
        <v>23020</v>
      </c>
      <c r="S365" s="16">
        <v>0</v>
      </c>
      <c r="U365" s="16">
        <v>0</v>
      </c>
      <c r="W365" s="16">
        <v>0</v>
      </c>
      <c r="Y365" s="16">
        <v>0</v>
      </c>
      <c r="AA365" s="16">
        <v>0</v>
      </c>
      <c r="AC365" s="16">
        <v>0</v>
      </c>
      <c r="AE365" s="16">
        <f t="shared" si="11"/>
        <v>61312</v>
      </c>
    </row>
    <row r="366" spans="1:31" ht="12.75" customHeight="1">
      <c r="A366" s="1" t="s">
        <v>454</v>
      </c>
      <c r="C366" s="1" t="s">
        <v>453</v>
      </c>
      <c r="E366" s="16">
        <v>20465</v>
      </c>
      <c r="G366" s="16">
        <v>845</v>
      </c>
      <c r="I366" s="16">
        <v>278</v>
      </c>
      <c r="K366" s="16">
        <v>2728</v>
      </c>
      <c r="M366" s="16">
        <v>0</v>
      </c>
      <c r="O366" s="16">
        <v>4559</v>
      </c>
      <c r="Q366" s="16">
        <v>27110</v>
      </c>
      <c r="S366" s="16">
        <v>0</v>
      </c>
      <c r="U366" s="16">
        <v>7037</v>
      </c>
      <c r="W366" s="16">
        <v>357</v>
      </c>
      <c r="Y366" s="16">
        <v>0</v>
      </c>
      <c r="AA366" s="16">
        <v>0</v>
      </c>
      <c r="AC366" s="16">
        <v>0</v>
      </c>
      <c r="AE366" s="16">
        <f t="shared" si="11"/>
        <v>63379</v>
      </c>
    </row>
    <row r="367" spans="1:31" ht="12.75" customHeight="1">
      <c r="A367" s="1" t="s">
        <v>294</v>
      </c>
      <c r="B367" s="1"/>
      <c r="C367" s="1" t="s">
        <v>261</v>
      </c>
      <c r="E367" s="16">
        <v>305921</v>
      </c>
      <c r="G367" s="16">
        <v>0</v>
      </c>
      <c r="I367" s="16">
        <v>5801</v>
      </c>
      <c r="K367" s="16">
        <v>4091</v>
      </c>
      <c r="M367" s="16">
        <v>0</v>
      </c>
      <c r="O367" s="16">
        <v>213302</v>
      </c>
      <c r="Q367" s="16">
        <v>96912</v>
      </c>
      <c r="S367" s="16">
        <v>375638</v>
      </c>
      <c r="U367" s="16">
        <v>3000</v>
      </c>
      <c r="W367" s="16">
        <v>4080</v>
      </c>
      <c r="Y367" s="16">
        <v>249619</v>
      </c>
      <c r="AA367" s="16">
        <v>0</v>
      </c>
      <c r="AC367" s="16">
        <v>0</v>
      </c>
      <c r="AE367" s="16">
        <f t="shared" si="11"/>
        <v>1258364</v>
      </c>
    </row>
    <row r="368" spans="1:31" ht="12.75" customHeight="1">
      <c r="A368" s="1" t="s">
        <v>745</v>
      </c>
      <c r="C368" s="1" t="s">
        <v>744</v>
      </c>
      <c r="E368" s="16">
        <v>32850</v>
      </c>
      <c r="G368" s="16">
        <v>0</v>
      </c>
      <c r="I368" s="16">
        <v>10000</v>
      </c>
      <c r="K368" s="16">
        <v>6330</v>
      </c>
      <c r="M368" s="16">
        <v>11244</v>
      </c>
      <c r="O368" s="16">
        <v>29802</v>
      </c>
      <c r="Q368" s="16">
        <v>103712</v>
      </c>
      <c r="S368" s="16">
        <v>105589</v>
      </c>
      <c r="U368" s="16">
        <v>0</v>
      </c>
      <c r="W368" s="16">
        <v>400</v>
      </c>
      <c r="Y368" s="16">
        <v>370</v>
      </c>
      <c r="AA368" s="16">
        <v>0</v>
      </c>
      <c r="AC368" s="16">
        <v>0</v>
      </c>
      <c r="AE368" s="16">
        <f t="shared" si="11"/>
        <v>300297</v>
      </c>
    </row>
    <row r="369" spans="1:31" ht="12.75" customHeight="1">
      <c r="A369" s="1" t="s">
        <v>773</v>
      </c>
      <c r="C369" s="1" t="s">
        <v>94</v>
      </c>
      <c r="E369" s="16">
        <v>65075</v>
      </c>
      <c r="G369" s="16">
        <v>0</v>
      </c>
      <c r="I369" s="16">
        <v>22174</v>
      </c>
      <c r="K369" s="16">
        <v>6213</v>
      </c>
      <c r="M369" s="16">
        <v>37470</v>
      </c>
      <c r="O369" s="16">
        <v>67334</v>
      </c>
      <c r="Q369" s="16">
        <v>88486</v>
      </c>
      <c r="S369" s="16">
        <v>30575</v>
      </c>
      <c r="U369" s="16">
        <v>13883</v>
      </c>
      <c r="W369" s="16">
        <v>0</v>
      </c>
      <c r="Y369" s="16">
        <v>183000</v>
      </c>
      <c r="AA369" s="16">
        <v>0</v>
      </c>
      <c r="AC369" s="16">
        <v>0</v>
      </c>
      <c r="AE369" s="16">
        <f t="shared" si="11"/>
        <v>514210</v>
      </c>
    </row>
    <row r="370" spans="1:31" ht="12.75" customHeight="1">
      <c r="A370" s="1" t="s">
        <v>539</v>
      </c>
      <c r="C370" s="1" t="s">
        <v>200</v>
      </c>
      <c r="E370" s="16">
        <v>4313</v>
      </c>
      <c r="G370" s="16">
        <v>116</v>
      </c>
      <c r="I370" s="16">
        <v>0</v>
      </c>
      <c r="K370" s="16">
        <v>0</v>
      </c>
      <c r="M370" s="16">
        <v>1824</v>
      </c>
      <c r="O370" s="16">
        <v>5803</v>
      </c>
      <c r="Q370" s="16">
        <v>18866</v>
      </c>
      <c r="S370" s="16">
        <v>0</v>
      </c>
      <c r="U370" s="16">
        <v>0</v>
      </c>
      <c r="W370" s="16">
        <v>0</v>
      </c>
      <c r="Y370" s="16">
        <v>0</v>
      </c>
      <c r="AA370" s="16">
        <v>0</v>
      </c>
      <c r="AC370" s="16">
        <v>0</v>
      </c>
      <c r="AE370" s="16">
        <f t="shared" si="11"/>
        <v>30922</v>
      </c>
    </row>
    <row r="371" spans="1:31" ht="12.75" customHeight="1">
      <c r="A371" s="1" t="s">
        <v>707</v>
      </c>
      <c r="C371" s="1" t="s">
        <v>110</v>
      </c>
      <c r="E371" s="16">
        <v>13656</v>
      </c>
      <c r="G371" s="16">
        <v>0</v>
      </c>
      <c r="I371" s="16">
        <v>0</v>
      </c>
      <c r="K371" s="16">
        <v>605</v>
      </c>
      <c r="M371" s="16">
        <v>3701</v>
      </c>
      <c r="O371" s="16">
        <v>2602</v>
      </c>
      <c r="Q371" s="16">
        <v>16319</v>
      </c>
      <c r="S371" s="16">
        <v>0</v>
      </c>
      <c r="U371" s="16">
        <v>11134</v>
      </c>
      <c r="W371" s="16">
        <v>3624</v>
      </c>
      <c r="Y371" s="16">
        <v>0</v>
      </c>
      <c r="AA371" s="16">
        <v>0</v>
      </c>
      <c r="AC371" s="16">
        <v>0</v>
      </c>
      <c r="AE371" s="16">
        <f t="shared" si="11"/>
        <v>51641</v>
      </c>
    </row>
    <row r="372" spans="1:31" ht="12.75" customHeight="1">
      <c r="A372" s="1" t="s">
        <v>295</v>
      </c>
      <c r="B372" s="1"/>
      <c r="C372" s="1" t="s">
        <v>221</v>
      </c>
      <c r="E372" s="16">
        <v>626001</v>
      </c>
      <c r="G372" s="16">
        <v>53795</v>
      </c>
      <c r="I372" s="16">
        <v>96513</v>
      </c>
      <c r="K372" s="16">
        <v>2631</v>
      </c>
      <c r="M372" s="16">
        <v>0</v>
      </c>
      <c r="O372" s="16">
        <v>367161</v>
      </c>
      <c r="Q372" s="16">
        <v>432887</v>
      </c>
      <c r="S372" s="16">
        <v>2568697</v>
      </c>
      <c r="U372" s="16">
        <v>14228</v>
      </c>
      <c r="W372" s="16">
        <v>1792</v>
      </c>
      <c r="Y372" s="16">
        <v>266879</v>
      </c>
      <c r="AA372" s="16">
        <v>0</v>
      </c>
      <c r="AC372" s="16">
        <v>242246</v>
      </c>
      <c r="AE372" s="16">
        <f t="shared" si="11"/>
        <v>4672830</v>
      </c>
    </row>
    <row r="373" spans="1:31" ht="12.75" customHeight="1">
      <c r="A373" s="1" t="s">
        <v>532</v>
      </c>
      <c r="C373" s="1" t="s">
        <v>98</v>
      </c>
      <c r="E373" s="16">
        <v>244017</v>
      </c>
      <c r="G373" s="16">
        <v>4394</v>
      </c>
      <c r="I373" s="16">
        <v>39362</v>
      </c>
      <c r="K373" s="16">
        <v>193</v>
      </c>
      <c r="M373" s="16">
        <v>0</v>
      </c>
      <c r="O373" s="16">
        <v>111718</v>
      </c>
      <c r="Q373" s="16">
        <v>68548</v>
      </c>
      <c r="S373" s="16">
        <v>57094</v>
      </c>
      <c r="U373" s="16">
        <v>38981</v>
      </c>
      <c r="W373" s="16">
        <v>7302</v>
      </c>
      <c r="Y373" s="16">
        <v>12212</v>
      </c>
      <c r="AA373" s="16">
        <v>0</v>
      </c>
      <c r="AC373" s="16">
        <v>0</v>
      </c>
      <c r="AE373" s="16">
        <f t="shared" si="11"/>
        <v>583821</v>
      </c>
    </row>
    <row r="374" spans="1:31" ht="12.75" customHeight="1">
      <c r="A374" s="1" t="s">
        <v>478</v>
      </c>
      <c r="C374" s="1" t="s">
        <v>146</v>
      </c>
      <c r="E374" s="16">
        <v>102664</v>
      </c>
      <c r="G374" s="16">
        <v>263</v>
      </c>
      <c r="I374" s="16">
        <v>0</v>
      </c>
      <c r="K374" s="16">
        <v>0</v>
      </c>
      <c r="M374" s="16">
        <v>0</v>
      </c>
      <c r="O374" s="16">
        <v>2715</v>
      </c>
      <c r="Q374" s="16">
        <v>38777</v>
      </c>
      <c r="S374" s="16">
        <v>0</v>
      </c>
      <c r="U374" s="16">
        <v>0</v>
      </c>
      <c r="W374" s="16">
        <v>0</v>
      </c>
      <c r="Y374" s="16">
        <v>0</v>
      </c>
      <c r="AA374" s="16">
        <v>0</v>
      </c>
      <c r="AC374" s="16">
        <v>0</v>
      </c>
      <c r="AE374" s="16">
        <f t="shared" si="11"/>
        <v>144419</v>
      </c>
    </row>
    <row r="375" spans="1:31" ht="12.75" customHeight="1">
      <c r="A375" s="1" t="s">
        <v>296</v>
      </c>
      <c r="B375" s="1"/>
      <c r="C375" s="1" t="s">
        <v>94</v>
      </c>
      <c r="E375" s="16">
        <v>5679</v>
      </c>
      <c r="G375" s="16">
        <v>1060</v>
      </c>
      <c r="I375" s="16">
        <v>0</v>
      </c>
      <c r="K375" s="16">
        <v>19876</v>
      </c>
      <c r="M375" s="16">
        <v>2269</v>
      </c>
      <c r="O375" s="16">
        <v>9842</v>
      </c>
      <c r="Q375" s="16">
        <v>7271</v>
      </c>
      <c r="S375" s="16">
        <v>0</v>
      </c>
      <c r="U375" s="16">
        <v>0</v>
      </c>
      <c r="W375" s="16">
        <v>0</v>
      </c>
      <c r="Y375" s="16">
        <v>1000</v>
      </c>
      <c r="AA375" s="16">
        <v>0</v>
      </c>
      <c r="AC375" s="16">
        <v>0</v>
      </c>
      <c r="AE375" s="16">
        <f t="shared" si="11"/>
        <v>46997</v>
      </c>
    </row>
    <row r="376" spans="1:31" ht="12.75" customHeight="1">
      <c r="A376" s="1" t="s">
        <v>297</v>
      </c>
      <c r="B376" s="1"/>
      <c r="C376" s="1" t="s">
        <v>80</v>
      </c>
      <c r="E376" s="16">
        <v>874</v>
      </c>
      <c r="G376" s="16">
        <v>180</v>
      </c>
      <c r="I376" s="16">
        <v>0</v>
      </c>
      <c r="K376" s="16">
        <v>0</v>
      </c>
      <c r="M376" s="16">
        <v>163</v>
      </c>
      <c r="O376" s="16">
        <v>935</v>
      </c>
      <c r="Q376" s="16">
        <v>2396</v>
      </c>
      <c r="S376" s="16">
        <v>0</v>
      </c>
      <c r="U376" s="16">
        <v>0</v>
      </c>
      <c r="W376" s="16">
        <v>0</v>
      </c>
      <c r="Y376" s="16">
        <v>0</v>
      </c>
      <c r="AA376" s="16">
        <v>0</v>
      </c>
      <c r="AC376" s="16">
        <v>0</v>
      </c>
      <c r="AE376" s="16">
        <f t="shared" si="11"/>
        <v>4548</v>
      </c>
    </row>
    <row r="377" spans="1:31" ht="12.75" customHeight="1">
      <c r="A377" s="1" t="s">
        <v>740</v>
      </c>
      <c r="C377" s="1" t="s">
        <v>96</v>
      </c>
      <c r="E377" s="16">
        <v>7554</v>
      </c>
      <c r="G377" s="16">
        <v>290</v>
      </c>
      <c r="I377" s="16">
        <v>6367</v>
      </c>
      <c r="K377" s="16">
        <v>1400</v>
      </c>
      <c r="M377" s="16">
        <v>17970</v>
      </c>
      <c r="O377" s="16">
        <v>27648</v>
      </c>
      <c r="Q377" s="16">
        <v>86466</v>
      </c>
      <c r="S377" s="16">
        <v>64487</v>
      </c>
      <c r="U377" s="16">
        <v>0</v>
      </c>
      <c r="W377" s="16">
        <v>0</v>
      </c>
      <c r="Y377" s="16">
        <v>21000</v>
      </c>
      <c r="AA377" s="16">
        <v>42900</v>
      </c>
      <c r="AC377" s="16">
        <v>37047</v>
      </c>
      <c r="AE377" s="16">
        <f t="shared" si="11"/>
        <v>313129</v>
      </c>
    </row>
    <row r="378" spans="1:31" ht="12.75" customHeight="1">
      <c r="A378" s="1" t="s">
        <v>298</v>
      </c>
      <c r="B378" s="1"/>
      <c r="C378" s="1" t="s">
        <v>106</v>
      </c>
      <c r="E378" s="16">
        <v>1030274</v>
      </c>
      <c r="G378" s="16">
        <v>162021</v>
      </c>
      <c r="I378" s="16">
        <v>257129</v>
      </c>
      <c r="K378" s="16">
        <v>3275</v>
      </c>
      <c r="M378" s="16">
        <v>11956</v>
      </c>
      <c r="O378" s="16">
        <v>482664</v>
      </c>
      <c r="Q378" s="16">
        <v>459582</v>
      </c>
      <c r="S378" s="16">
        <v>0</v>
      </c>
      <c r="U378" s="16">
        <v>0</v>
      </c>
      <c r="W378" s="16">
        <v>0</v>
      </c>
      <c r="Y378" s="16">
        <v>1089351</v>
      </c>
      <c r="AA378" s="16">
        <v>75000</v>
      </c>
      <c r="AC378" s="16">
        <v>23815</v>
      </c>
      <c r="AE378" s="16">
        <f t="shared" si="11"/>
        <v>3595067</v>
      </c>
    </row>
    <row r="379" spans="1:31" ht="12.75" customHeight="1">
      <c r="A379" s="1" t="s">
        <v>545</v>
      </c>
      <c r="C379" s="1" t="s">
        <v>149</v>
      </c>
      <c r="E379" s="16">
        <v>391009</v>
      </c>
      <c r="G379" s="16">
        <v>1030</v>
      </c>
      <c r="I379" s="16">
        <v>6878</v>
      </c>
      <c r="K379" s="16">
        <v>3272</v>
      </c>
      <c r="M379" s="16">
        <v>108915</v>
      </c>
      <c r="O379" s="16">
        <v>88438</v>
      </c>
      <c r="Q379" s="16">
        <v>199210</v>
      </c>
      <c r="S379" s="16">
        <v>142800</v>
      </c>
      <c r="U379" s="16">
        <v>25279</v>
      </c>
      <c r="W379" s="16">
        <v>38650</v>
      </c>
      <c r="Y379" s="16">
        <v>12740</v>
      </c>
      <c r="AA379" s="16">
        <v>0</v>
      </c>
      <c r="AC379" s="16">
        <v>0</v>
      </c>
      <c r="AE379" s="16">
        <f t="shared" si="11"/>
        <v>1018221</v>
      </c>
    </row>
    <row r="380" spans="1:31" ht="12.75" customHeight="1">
      <c r="A380" s="1" t="s">
        <v>299</v>
      </c>
      <c r="B380" s="1"/>
      <c r="C380" s="1" t="s">
        <v>69</v>
      </c>
      <c r="E380" s="16">
        <v>984298</v>
      </c>
      <c r="G380" s="16">
        <v>23286</v>
      </c>
      <c r="I380" s="16">
        <v>441849</v>
      </c>
      <c r="K380" s="16">
        <v>0</v>
      </c>
      <c r="M380" s="16">
        <v>396704</v>
      </c>
      <c r="O380" s="16">
        <v>618403</v>
      </c>
      <c r="Q380" s="16">
        <v>923603</v>
      </c>
      <c r="S380" s="16">
        <v>114440</v>
      </c>
      <c r="U380" s="16">
        <v>0</v>
      </c>
      <c r="W380" s="16">
        <v>0</v>
      </c>
      <c r="Y380" s="16">
        <v>460550</v>
      </c>
      <c r="AA380" s="16">
        <v>0</v>
      </c>
      <c r="AC380" s="16">
        <v>122</v>
      </c>
      <c r="AE380" s="16">
        <f t="shared" si="11"/>
        <v>3963255</v>
      </c>
    </row>
    <row r="381" spans="1:31" ht="12.75" customHeight="1">
      <c r="A381" s="1" t="s">
        <v>300</v>
      </c>
      <c r="B381" s="1"/>
      <c r="C381" s="1" t="s">
        <v>177</v>
      </c>
      <c r="E381" s="16">
        <v>555001</v>
      </c>
      <c r="G381" s="16">
        <v>600</v>
      </c>
      <c r="I381" s="16">
        <v>110351</v>
      </c>
      <c r="K381" s="16">
        <v>11227</v>
      </c>
      <c r="M381" s="16">
        <v>0</v>
      </c>
      <c r="O381" s="16">
        <v>441875</v>
      </c>
      <c r="Q381" s="16">
        <v>282732</v>
      </c>
      <c r="S381" s="16">
        <v>1451458</v>
      </c>
      <c r="U381" s="16">
        <v>581409</v>
      </c>
      <c r="W381" s="16">
        <v>14860</v>
      </c>
      <c r="Y381" s="16">
        <v>2443362</v>
      </c>
      <c r="AA381" s="16">
        <v>0</v>
      </c>
      <c r="AC381" s="16">
        <v>0</v>
      </c>
      <c r="AE381" s="16">
        <f t="shared" si="11"/>
        <v>5892875</v>
      </c>
    </row>
    <row r="382" spans="1:31" ht="12.75" customHeight="1">
      <c r="A382" s="1" t="s">
        <v>301</v>
      </c>
      <c r="B382" s="1"/>
      <c r="C382" s="1" t="s">
        <v>129</v>
      </c>
      <c r="E382" s="16">
        <v>1007838</v>
      </c>
      <c r="G382" s="16">
        <v>50972</v>
      </c>
      <c r="I382" s="16">
        <v>128541</v>
      </c>
      <c r="K382" s="16">
        <v>2025</v>
      </c>
      <c r="M382" s="16">
        <v>0</v>
      </c>
      <c r="O382" s="16">
        <v>413591</v>
      </c>
      <c r="Q382" s="16">
        <v>543223</v>
      </c>
      <c r="S382" s="16">
        <v>1642305</v>
      </c>
      <c r="U382" s="16">
        <v>1263100</v>
      </c>
      <c r="W382" s="16">
        <v>35006</v>
      </c>
      <c r="Y382" s="16">
        <v>1784498</v>
      </c>
      <c r="AA382" s="16">
        <v>20000</v>
      </c>
      <c r="AC382" s="16">
        <v>0</v>
      </c>
      <c r="AE382" s="16">
        <f t="shared" si="11"/>
        <v>6891099</v>
      </c>
    </row>
    <row r="383" spans="1:33" s="16" customFormat="1" ht="12.75" customHeight="1">
      <c r="A383" s="16" t="s">
        <v>302</v>
      </c>
      <c r="C383" s="16" t="s">
        <v>303</v>
      </c>
      <c r="E383" s="16">
        <v>389862</v>
      </c>
      <c r="G383" s="16">
        <v>1760</v>
      </c>
      <c r="I383" s="16">
        <v>68331</v>
      </c>
      <c r="K383" s="16">
        <v>4316</v>
      </c>
      <c r="M383" s="16">
        <v>0</v>
      </c>
      <c r="O383" s="16">
        <v>112870</v>
      </c>
      <c r="Q383" s="16">
        <v>155605</v>
      </c>
      <c r="S383" s="16">
        <v>68455</v>
      </c>
      <c r="U383" s="16">
        <v>0</v>
      </c>
      <c r="W383" s="16">
        <v>0</v>
      </c>
      <c r="Y383" s="16">
        <v>327176</v>
      </c>
      <c r="AA383" s="16">
        <v>92124</v>
      </c>
      <c r="AC383" s="16">
        <v>7541</v>
      </c>
      <c r="AE383" s="16">
        <f t="shared" si="11"/>
        <v>1228040</v>
      </c>
      <c r="AG383" s="1"/>
    </row>
    <row r="384" spans="1:31" ht="12.75" customHeight="1">
      <c r="A384" s="1" t="s">
        <v>652</v>
      </c>
      <c r="C384" s="1" t="s">
        <v>167</v>
      </c>
      <c r="E384" s="16">
        <v>5480</v>
      </c>
      <c r="G384" s="16">
        <v>529</v>
      </c>
      <c r="I384" s="16">
        <v>0</v>
      </c>
      <c r="K384" s="16">
        <v>300</v>
      </c>
      <c r="M384" s="16">
        <v>0</v>
      </c>
      <c r="O384" s="16">
        <v>5450</v>
      </c>
      <c r="Q384" s="16">
        <v>16709</v>
      </c>
      <c r="S384" s="16">
        <v>0</v>
      </c>
      <c r="U384" s="16">
        <v>0</v>
      </c>
      <c r="W384" s="16">
        <v>0</v>
      </c>
      <c r="Y384" s="16">
        <v>0</v>
      </c>
      <c r="AA384" s="16">
        <v>0</v>
      </c>
      <c r="AC384" s="16">
        <v>0</v>
      </c>
      <c r="AE384" s="16">
        <f t="shared" si="11"/>
        <v>28468</v>
      </c>
    </row>
    <row r="385" spans="15:31" ht="12.75" customHeight="1">
      <c r="O385" s="16"/>
      <c r="AE385" s="34" t="s">
        <v>785</v>
      </c>
    </row>
    <row r="386" spans="1:31" s="36" customFormat="1" ht="12.75" customHeight="1">
      <c r="A386" s="36" t="s">
        <v>304</v>
      </c>
      <c r="C386" s="36" t="s">
        <v>190</v>
      </c>
      <c r="E386" s="36">
        <v>750590</v>
      </c>
      <c r="G386" s="36">
        <v>45926</v>
      </c>
      <c r="I386" s="36">
        <v>183045</v>
      </c>
      <c r="K386" s="36">
        <v>28465</v>
      </c>
      <c r="M386" s="36">
        <v>311271</v>
      </c>
      <c r="O386" s="36">
        <v>328593</v>
      </c>
      <c r="Q386" s="36">
        <v>214121</v>
      </c>
      <c r="S386" s="36">
        <v>954617</v>
      </c>
      <c r="U386" s="36">
        <v>463627</v>
      </c>
      <c r="W386" s="36">
        <v>0</v>
      </c>
      <c r="Y386" s="36">
        <v>242503</v>
      </c>
      <c r="AA386" s="36">
        <v>50910</v>
      </c>
      <c r="AC386" s="36">
        <v>0</v>
      </c>
      <c r="AE386" s="36">
        <f aca="true" t="shared" si="12" ref="AE386:AE417">SUM(E386:AC386)</f>
        <v>3573668</v>
      </c>
    </row>
    <row r="387" spans="1:31" ht="12.75" customHeight="1">
      <c r="A387" s="1" t="s">
        <v>305</v>
      </c>
      <c r="B387" s="1"/>
      <c r="C387" s="1" t="s">
        <v>112</v>
      </c>
      <c r="E387" s="16">
        <v>1350977</v>
      </c>
      <c r="G387" s="16">
        <v>18954</v>
      </c>
      <c r="I387" s="16">
        <v>0</v>
      </c>
      <c r="K387" s="16">
        <v>79521</v>
      </c>
      <c r="M387" s="16">
        <v>733834</v>
      </c>
      <c r="O387" s="16">
        <v>728329</v>
      </c>
      <c r="Q387" s="16">
        <v>1034773</v>
      </c>
      <c r="S387" s="16">
        <v>1500593</v>
      </c>
      <c r="U387" s="16">
        <v>85000</v>
      </c>
      <c r="W387" s="16">
        <v>80117</v>
      </c>
      <c r="Y387" s="16">
        <v>997962</v>
      </c>
      <c r="AA387" s="16">
        <v>700979</v>
      </c>
      <c r="AC387" s="16">
        <v>0</v>
      </c>
      <c r="AE387" s="16">
        <f t="shared" si="12"/>
        <v>7311039</v>
      </c>
    </row>
    <row r="388" spans="1:31" ht="12.75" customHeight="1">
      <c r="A388" s="1" t="s">
        <v>637</v>
      </c>
      <c r="C388" s="1" t="s">
        <v>268</v>
      </c>
      <c r="E388" s="16">
        <v>15775</v>
      </c>
      <c r="G388" s="16">
        <v>651</v>
      </c>
      <c r="I388" s="16">
        <v>1557</v>
      </c>
      <c r="K388" s="16">
        <v>2700</v>
      </c>
      <c r="M388" s="16">
        <v>210</v>
      </c>
      <c r="O388" s="16">
        <v>11198</v>
      </c>
      <c r="Q388" s="16">
        <v>16887</v>
      </c>
      <c r="S388" s="16">
        <v>0</v>
      </c>
      <c r="U388" s="16">
        <v>0</v>
      </c>
      <c r="W388" s="16">
        <v>0</v>
      </c>
      <c r="Y388" s="16">
        <v>0</v>
      </c>
      <c r="AA388" s="16">
        <v>0</v>
      </c>
      <c r="AC388" s="16">
        <v>0</v>
      </c>
      <c r="AE388" s="16">
        <f t="shared" si="12"/>
        <v>48978</v>
      </c>
    </row>
    <row r="389" spans="1:31" ht="12.75" customHeight="1">
      <c r="A389" s="1" t="s">
        <v>469</v>
      </c>
      <c r="C389" s="1" t="s">
        <v>100</v>
      </c>
      <c r="E389" s="16">
        <v>97479</v>
      </c>
      <c r="G389" s="16">
        <v>873</v>
      </c>
      <c r="I389" s="16">
        <v>2500</v>
      </c>
      <c r="K389" s="16">
        <v>84</v>
      </c>
      <c r="M389" s="16">
        <v>0</v>
      </c>
      <c r="O389" s="16">
        <v>29027</v>
      </c>
      <c r="Q389" s="16">
        <v>35245</v>
      </c>
      <c r="S389" s="16">
        <v>153501</v>
      </c>
      <c r="U389" s="16">
        <v>0</v>
      </c>
      <c r="W389" s="16">
        <v>9296</v>
      </c>
      <c r="Y389" s="16">
        <v>0</v>
      </c>
      <c r="AA389" s="16">
        <v>0</v>
      </c>
      <c r="AC389" s="16">
        <v>0</v>
      </c>
      <c r="AE389" s="16">
        <f t="shared" si="12"/>
        <v>328005</v>
      </c>
    </row>
    <row r="390" spans="1:31" ht="12.75" customHeight="1">
      <c r="A390" s="1" t="s">
        <v>309</v>
      </c>
      <c r="C390" s="1" t="s">
        <v>172</v>
      </c>
      <c r="E390" s="16">
        <v>158507</v>
      </c>
      <c r="G390" s="16">
        <v>142</v>
      </c>
      <c r="I390" s="16">
        <v>975</v>
      </c>
      <c r="K390" s="16">
        <v>13000</v>
      </c>
      <c r="M390" s="16">
        <v>95986</v>
      </c>
      <c r="O390" s="16">
        <v>65956</v>
      </c>
      <c r="Q390" s="16">
        <v>194374</v>
      </c>
      <c r="S390" s="16">
        <v>40215</v>
      </c>
      <c r="U390" s="16">
        <v>66589</v>
      </c>
      <c r="W390" s="16">
        <v>0</v>
      </c>
      <c r="Y390" s="16">
        <v>26200</v>
      </c>
      <c r="AA390" s="16">
        <v>0</v>
      </c>
      <c r="AC390" s="16">
        <v>43909</v>
      </c>
      <c r="AE390" s="16">
        <f t="shared" si="12"/>
        <v>705853</v>
      </c>
    </row>
    <row r="391" spans="1:31" ht="12.75" customHeight="1">
      <c r="A391" s="1" t="s">
        <v>493</v>
      </c>
      <c r="C391" s="1" t="s">
        <v>102</v>
      </c>
      <c r="E391" s="16">
        <v>48093</v>
      </c>
      <c r="G391" s="16">
        <v>9363</v>
      </c>
      <c r="I391" s="16">
        <v>56130</v>
      </c>
      <c r="K391" s="16">
        <v>416</v>
      </c>
      <c r="M391" s="16">
        <v>24160</v>
      </c>
      <c r="O391" s="16">
        <v>11194</v>
      </c>
      <c r="Q391" s="16">
        <v>428295</v>
      </c>
      <c r="S391" s="16">
        <v>65330</v>
      </c>
      <c r="U391" s="16">
        <v>0</v>
      </c>
      <c r="W391" s="16">
        <v>0</v>
      </c>
      <c r="Y391" s="16">
        <v>79245</v>
      </c>
      <c r="AA391" s="16">
        <v>0</v>
      </c>
      <c r="AC391" s="16">
        <v>0</v>
      </c>
      <c r="AE391" s="16">
        <f t="shared" si="12"/>
        <v>722226</v>
      </c>
    </row>
    <row r="392" spans="1:31" ht="12.75" customHeight="1">
      <c r="A392" s="1" t="s">
        <v>762</v>
      </c>
      <c r="C392" s="1" t="s">
        <v>84</v>
      </c>
      <c r="E392" s="16">
        <v>50411</v>
      </c>
      <c r="G392" s="16">
        <v>4088</v>
      </c>
      <c r="I392" s="16">
        <v>3162</v>
      </c>
      <c r="K392" s="16">
        <v>0</v>
      </c>
      <c r="M392" s="16">
        <v>0</v>
      </c>
      <c r="O392" s="16">
        <v>24906</v>
      </c>
      <c r="Q392" s="16">
        <v>44770</v>
      </c>
      <c r="S392" s="16">
        <v>0</v>
      </c>
      <c r="U392" s="16">
        <v>0</v>
      </c>
      <c r="W392" s="16">
        <v>0</v>
      </c>
      <c r="Y392" s="16">
        <v>18000</v>
      </c>
      <c r="AA392" s="16">
        <v>0</v>
      </c>
      <c r="AC392" s="16">
        <v>0</v>
      </c>
      <c r="AE392" s="16">
        <f t="shared" si="12"/>
        <v>145337</v>
      </c>
    </row>
    <row r="393" spans="1:31" ht="12.75" customHeight="1">
      <c r="A393" s="1" t="s">
        <v>628</v>
      </c>
      <c r="C393" s="1" t="s">
        <v>293</v>
      </c>
      <c r="E393" s="16">
        <v>568000</v>
      </c>
      <c r="G393" s="16">
        <v>0</v>
      </c>
      <c r="I393" s="16">
        <v>85744</v>
      </c>
      <c r="K393" s="16">
        <v>5299</v>
      </c>
      <c r="M393" s="16">
        <v>0</v>
      </c>
      <c r="O393" s="16">
        <v>79540</v>
      </c>
      <c r="Q393" s="16">
        <v>248460</v>
      </c>
      <c r="S393" s="16">
        <v>0</v>
      </c>
      <c r="U393" s="16">
        <v>0</v>
      </c>
      <c r="W393" s="16">
        <v>0</v>
      </c>
      <c r="Y393" s="16">
        <v>28000</v>
      </c>
      <c r="AA393" s="16">
        <v>0</v>
      </c>
      <c r="AC393" s="16">
        <v>0</v>
      </c>
      <c r="AE393" s="16">
        <f t="shared" si="12"/>
        <v>1015043</v>
      </c>
    </row>
    <row r="394" spans="1:31" ht="12.75" customHeight="1">
      <c r="A394" s="1" t="s">
        <v>576</v>
      </c>
      <c r="C394" s="1" t="s">
        <v>65</v>
      </c>
      <c r="E394" s="16">
        <v>11061</v>
      </c>
      <c r="G394" s="16">
        <v>3390</v>
      </c>
      <c r="I394" s="16">
        <v>409</v>
      </c>
      <c r="K394" s="16">
        <v>0</v>
      </c>
      <c r="M394" s="16">
        <v>7985</v>
      </c>
      <c r="O394" s="16">
        <v>22866</v>
      </c>
      <c r="Q394" s="16">
        <v>31566</v>
      </c>
      <c r="S394" s="16">
        <v>0</v>
      </c>
      <c r="U394" s="16">
        <v>4648</v>
      </c>
      <c r="W394" s="16">
        <v>0</v>
      </c>
      <c r="Y394" s="16">
        <v>0</v>
      </c>
      <c r="AA394" s="16">
        <v>0</v>
      </c>
      <c r="AC394" s="16">
        <v>1730</v>
      </c>
      <c r="AE394" s="16">
        <f t="shared" si="12"/>
        <v>83655</v>
      </c>
    </row>
    <row r="395" spans="1:31" ht="12.75" customHeight="1">
      <c r="A395" s="1" t="s">
        <v>306</v>
      </c>
      <c r="B395" s="1"/>
      <c r="C395" s="1" t="s">
        <v>114</v>
      </c>
      <c r="E395" s="16">
        <v>4661</v>
      </c>
      <c r="G395" s="16">
        <v>2090</v>
      </c>
      <c r="I395" s="16">
        <v>50440</v>
      </c>
      <c r="K395" s="16">
        <v>4000</v>
      </c>
      <c r="M395" s="16">
        <v>1177</v>
      </c>
      <c r="O395" s="16">
        <v>21142</v>
      </c>
      <c r="Q395" s="16">
        <v>56055</v>
      </c>
      <c r="S395" s="16">
        <v>7838</v>
      </c>
      <c r="U395" s="16">
        <v>0</v>
      </c>
      <c r="W395" s="16">
        <v>0</v>
      </c>
      <c r="Y395" s="16">
        <v>10000</v>
      </c>
      <c r="AA395" s="16">
        <v>0</v>
      </c>
      <c r="AC395" s="16">
        <v>0</v>
      </c>
      <c r="AE395" s="16">
        <f t="shared" si="12"/>
        <v>157403</v>
      </c>
    </row>
    <row r="396" spans="1:31" ht="12.75" customHeight="1">
      <c r="A396" s="1" t="s">
        <v>307</v>
      </c>
      <c r="B396" s="1"/>
      <c r="C396" s="1" t="s">
        <v>114</v>
      </c>
      <c r="E396" s="16">
        <v>9551</v>
      </c>
      <c r="G396" s="16">
        <v>467</v>
      </c>
      <c r="I396" s="16">
        <v>10935</v>
      </c>
      <c r="K396" s="16">
        <v>0</v>
      </c>
      <c r="M396" s="16">
        <v>8916</v>
      </c>
      <c r="O396" s="16">
        <v>11766</v>
      </c>
      <c r="Q396" s="16">
        <v>26368</v>
      </c>
      <c r="S396" s="16">
        <v>945598</v>
      </c>
      <c r="U396" s="16">
        <v>0</v>
      </c>
      <c r="W396" s="16">
        <v>0</v>
      </c>
      <c r="Y396" s="16">
        <v>0</v>
      </c>
      <c r="AA396" s="16">
        <v>0</v>
      </c>
      <c r="AC396" s="16">
        <v>0</v>
      </c>
      <c r="AE396" s="16">
        <f t="shared" si="12"/>
        <v>1013601</v>
      </c>
    </row>
    <row r="397" spans="1:31" ht="12.75" customHeight="1">
      <c r="A397" s="1" t="s">
        <v>308</v>
      </c>
      <c r="B397" s="1"/>
      <c r="C397" s="1" t="s">
        <v>309</v>
      </c>
      <c r="E397" s="16">
        <v>677601</v>
      </c>
      <c r="G397" s="16">
        <v>2324</v>
      </c>
      <c r="I397" s="16">
        <v>0</v>
      </c>
      <c r="K397" s="16">
        <v>0</v>
      </c>
      <c r="M397" s="16">
        <v>1368</v>
      </c>
      <c r="O397" s="16">
        <v>1318</v>
      </c>
      <c r="Q397" s="16">
        <v>498652</v>
      </c>
      <c r="S397" s="16">
        <v>333337</v>
      </c>
      <c r="U397" s="16">
        <v>0</v>
      </c>
      <c r="W397" s="16">
        <v>0</v>
      </c>
      <c r="Y397" s="16">
        <v>255000</v>
      </c>
      <c r="AA397" s="16">
        <v>0</v>
      </c>
      <c r="AC397" s="16">
        <v>0</v>
      </c>
      <c r="AE397" s="16">
        <f t="shared" si="12"/>
        <v>1769600</v>
      </c>
    </row>
    <row r="398" spans="1:31" ht="12.75" customHeight="1">
      <c r="A398" s="1" t="s">
        <v>476</v>
      </c>
      <c r="C398" s="1" t="s">
        <v>246</v>
      </c>
      <c r="E398" s="16">
        <v>722520</v>
      </c>
      <c r="G398" s="16">
        <v>0</v>
      </c>
      <c r="I398" s="16">
        <v>41755</v>
      </c>
      <c r="K398" s="16">
        <v>29979</v>
      </c>
      <c r="M398" s="16">
        <v>0</v>
      </c>
      <c r="O398" s="16">
        <v>230459</v>
      </c>
      <c r="Q398" s="16">
        <v>201096</v>
      </c>
      <c r="S398" s="16">
        <v>1048813</v>
      </c>
      <c r="U398" s="16">
        <v>20008</v>
      </c>
      <c r="W398" s="16">
        <v>22186</v>
      </c>
      <c r="Y398" s="16">
        <v>4084</v>
      </c>
      <c r="AA398" s="16">
        <v>127000</v>
      </c>
      <c r="AC398" s="16">
        <v>4345</v>
      </c>
      <c r="AE398" s="16">
        <f t="shared" si="12"/>
        <v>2452245</v>
      </c>
    </row>
    <row r="399" spans="1:31" ht="12.75" customHeight="1">
      <c r="A399" s="1" t="s">
        <v>310</v>
      </c>
      <c r="B399" s="1"/>
      <c r="C399" s="1" t="s">
        <v>69</v>
      </c>
      <c r="E399" s="16">
        <v>23967</v>
      </c>
      <c r="G399" s="16">
        <v>29340</v>
      </c>
      <c r="I399" s="16">
        <v>4033</v>
      </c>
      <c r="K399" s="16">
        <v>0</v>
      </c>
      <c r="M399" s="16">
        <v>13350</v>
      </c>
      <c r="O399" s="16">
        <v>19504</v>
      </c>
      <c r="Q399" s="16">
        <v>56750</v>
      </c>
      <c r="S399" s="16">
        <v>0</v>
      </c>
      <c r="U399" s="16">
        <v>0</v>
      </c>
      <c r="W399" s="16">
        <v>0</v>
      </c>
      <c r="Y399" s="16">
        <v>0</v>
      </c>
      <c r="AA399" s="16">
        <v>0</v>
      </c>
      <c r="AC399" s="16">
        <v>0</v>
      </c>
      <c r="AE399" s="16">
        <f t="shared" si="12"/>
        <v>146944</v>
      </c>
    </row>
    <row r="400" spans="1:31" ht="12.75" customHeight="1">
      <c r="A400" s="1" t="s">
        <v>592</v>
      </c>
      <c r="C400" s="1" t="s">
        <v>591</v>
      </c>
      <c r="E400" s="16">
        <v>26384</v>
      </c>
      <c r="G400" s="16">
        <v>0</v>
      </c>
      <c r="I400" s="16">
        <v>0</v>
      </c>
      <c r="K400" s="16">
        <v>0</v>
      </c>
      <c r="M400" s="16">
        <v>0</v>
      </c>
      <c r="O400" s="16">
        <v>21530</v>
      </c>
      <c r="Q400" s="16">
        <v>34198</v>
      </c>
      <c r="S400" s="16">
        <v>0</v>
      </c>
      <c r="U400" s="16">
        <v>0</v>
      </c>
      <c r="W400" s="16">
        <v>1100</v>
      </c>
      <c r="Y400" s="16">
        <v>1100</v>
      </c>
      <c r="AA400" s="16">
        <v>0</v>
      </c>
      <c r="AC400" s="16">
        <v>0</v>
      </c>
      <c r="AE400" s="16">
        <f t="shared" si="12"/>
        <v>84312</v>
      </c>
    </row>
    <row r="401" spans="1:31" ht="12.75" customHeight="1">
      <c r="A401" s="1" t="s">
        <v>311</v>
      </c>
      <c r="B401" s="1"/>
      <c r="C401" s="1" t="s">
        <v>312</v>
      </c>
      <c r="E401" s="16">
        <v>3846</v>
      </c>
      <c r="G401" s="16">
        <v>431</v>
      </c>
      <c r="I401" s="16">
        <v>0</v>
      </c>
      <c r="K401" s="16">
        <v>495</v>
      </c>
      <c r="M401" s="16">
        <v>0</v>
      </c>
      <c r="O401" s="16">
        <v>0</v>
      </c>
      <c r="Q401" s="16">
        <v>8056</v>
      </c>
      <c r="S401" s="16">
        <v>3200</v>
      </c>
      <c r="U401" s="16">
        <v>0</v>
      </c>
      <c r="W401" s="16">
        <v>0</v>
      </c>
      <c r="Y401" s="16">
        <v>0</v>
      </c>
      <c r="AA401" s="16">
        <v>0</v>
      </c>
      <c r="AC401" s="16">
        <v>0</v>
      </c>
      <c r="AE401" s="16">
        <f t="shared" si="12"/>
        <v>16028</v>
      </c>
    </row>
    <row r="402" spans="1:31" ht="12.75" customHeight="1">
      <c r="A402" s="1" t="s">
        <v>313</v>
      </c>
      <c r="B402" s="1"/>
      <c r="C402" s="1" t="s">
        <v>106</v>
      </c>
      <c r="E402" s="16">
        <v>393255</v>
      </c>
      <c r="G402" s="16">
        <v>0</v>
      </c>
      <c r="I402" s="16">
        <v>17885</v>
      </c>
      <c r="K402" s="16">
        <v>4152</v>
      </c>
      <c r="M402" s="16">
        <v>0</v>
      </c>
      <c r="O402" s="16">
        <v>200163</v>
      </c>
      <c r="Q402" s="16">
        <v>166665</v>
      </c>
      <c r="S402" s="16">
        <v>299081</v>
      </c>
      <c r="U402" s="16">
        <v>0</v>
      </c>
      <c r="W402" s="16">
        <v>0</v>
      </c>
      <c r="Y402" s="16">
        <v>75000</v>
      </c>
      <c r="AA402" s="16">
        <v>0</v>
      </c>
      <c r="AC402" s="16">
        <v>0</v>
      </c>
      <c r="AE402" s="16">
        <f t="shared" si="12"/>
        <v>1156201</v>
      </c>
    </row>
    <row r="403" spans="1:31" ht="12.75" customHeight="1">
      <c r="A403" s="1" t="s">
        <v>314</v>
      </c>
      <c r="B403" s="1"/>
      <c r="C403" s="1" t="s">
        <v>170</v>
      </c>
      <c r="E403" s="16">
        <v>500</v>
      </c>
      <c r="G403" s="16">
        <v>0</v>
      </c>
      <c r="I403" s="16">
        <v>0</v>
      </c>
      <c r="K403" s="16">
        <v>3794</v>
      </c>
      <c r="M403" s="16">
        <v>8669</v>
      </c>
      <c r="O403" s="16">
        <v>0</v>
      </c>
      <c r="Q403" s="16">
        <v>10025</v>
      </c>
      <c r="S403" s="16">
        <v>0</v>
      </c>
      <c r="U403" s="16">
        <v>0</v>
      </c>
      <c r="W403" s="16">
        <v>0</v>
      </c>
      <c r="Y403" s="16">
        <v>0</v>
      </c>
      <c r="AA403" s="16">
        <v>0</v>
      </c>
      <c r="AC403" s="16">
        <v>0</v>
      </c>
      <c r="AE403" s="16">
        <f t="shared" si="12"/>
        <v>22988</v>
      </c>
    </row>
    <row r="404" spans="1:31" ht="12.75" customHeight="1">
      <c r="A404" s="1" t="s">
        <v>315</v>
      </c>
      <c r="B404" s="1"/>
      <c r="C404" s="1" t="s">
        <v>151</v>
      </c>
      <c r="E404" s="16">
        <v>6190</v>
      </c>
      <c r="G404" s="16">
        <v>2075</v>
      </c>
      <c r="I404" s="16">
        <v>1816</v>
      </c>
      <c r="K404" s="16">
        <v>299</v>
      </c>
      <c r="M404" s="16">
        <v>290</v>
      </c>
      <c r="O404" s="16">
        <v>28039</v>
      </c>
      <c r="Q404" s="16">
        <v>33908</v>
      </c>
      <c r="S404" s="16">
        <v>0</v>
      </c>
      <c r="U404" s="16">
        <v>89939</v>
      </c>
      <c r="W404" s="16">
        <v>0</v>
      </c>
      <c r="Y404" s="16">
        <v>0</v>
      </c>
      <c r="AA404" s="16">
        <v>0</v>
      </c>
      <c r="AC404" s="16">
        <v>0</v>
      </c>
      <c r="AE404" s="16">
        <f t="shared" si="12"/>
        <v>162556</v>
      </c>
    </row>
    <row r="405" spans="1:31" ht="12.75" customHeight="1">
      <c r="A405" s="1" t="s">
        <v>494</v>
      </c>
      <c r="C405" s="1" t="s">
        <v>102</v>
      </c>
      <c r="E405" s="16">
        <v>1932</v>
      </c>
      <c r="G405" s="16">
        <v>0</v>
      </c>
      <c r="I405" s="16">
        <v>0</v>
      </c>
      <c r="K405" s="16">
        <v>0</v>
      </c>
      <c r="M405" s="16">
        <v>5741</v>
      </c>
      <c r="O405" s="16">
        <v>2496</v>
      </c>
      <c r="Q405" s="16">
        <v>33520</v>
      </c>
      <c r="S405" s="16">
        <v>0</v>
      </c>
      <c r="U405" s="16">
        <v>0</v>
      </c>
      <c r="W405" s="16">
        <v>0</v>
      </c>
      <c r="Y405" s="16">
        <v>0</v>
      </c>
      <c r="AA405" s="16">
        <v>800</v>
      </c>
      <c r="AC405" s="16">
        <v>2500</v>
      </c>
      <c r="AE405" s="16">
        <f t="shared" si="12"/>
        <v>46989</v>
      </c>
    </row>
    <row r="406" spans="1:31" ht="12.75" customHeight="1">
      <c r="A406" s="1" t="s">
        <v>316</v>
      </c>
      <c r="B406" s="1"/>
      <c r="C406" s="1" t="s">
        <v>149</v>
      </c>
      <c r="E406" s="16">
        <v>1751971</v>
      </c>
      <c r="G406" s="16">
        <v>71340</v>
      </c>
      <c r="I406" s="16">
        <v>9914</v>
      </c>
      <c r="K406" s="16">
        <v>423634</v>
      </c>
      <c r="M406" s="16">
        <v>0</v>
      </c>
      <c r="O406" s="16">
        <v>932141</v>
      </c>
      <c r="Q406" s="16">
        <v>1950445</v>
      </c>
      <c r="S406" s="16">
        <v>2997767</v>
      </c>
      <c r="U406" s="16">
        <v>556357</v>
      </c>
      <c r="W406" s="16">
        <v>960074</v>
      </c>
      <c r="Y406" s="16">
        <v>544000</v>
      </c>
      <c r="AA406" s="16">
        <v>0</v>
      </c>
      <c r="AC406" s="16">
        <v>0</v>
      </c>
      <c r="AE406" s="16">
        <f t="shared" si="12"/>
        <v>10197643</v>
      </c>
    </row>
    <row r="407" spans="1:31" ht="12.75" customHeight="1">
      <c r="A407" s="1" t="s">
        <v>582</v>
      </c>
      <c r="C407" s="1" t="s">
        <v>133</v>
      </c>
      <c r="E407" s="16">
        <v>12477</v>
      </c>
      <c r="G407" s="16">
        <v>291</v>
      </c>
      <c r="I407" s="16">
        <v>0</v>
      </c>
      <c r="K407" s="16">
        <v>9</v>
      </c>
      <c r="M407" s="16">
        <v>0</v>
      </c>
      <c r="O407" s="16">
        <v>9885</v>
      </c>
      <c r="Q407" s="16">
        <v>21492</v>
      </c>
      <c r="S407" s="16">
        <v>27130</v>
      </c>
      <c r="U407" s="16">
        <v>7931</v>
      </c>
      <c r="W407" s="16">
        <v>2387</v>
      </c>
      <c r="Y407" s="16">
        <v>0</v>
      </c>
      <c r="AA407" s="16">
        <v>0</v>
      </c>
      <c r="AC407" s="16">
        <v>189</v>
      </c>
      <c r="AE407" s="16">
        <f t="shared" si="12"/>
        <v>81791</v>
      </c>
    </row>
    <row r="408" spans="1:31" ht="12.75" customHeight="1">
      <c r="A408" s="1" t="s">
        <v>587</v>
      </c>
      <c r="C408" s="1" t="s">
        <v>239</v>
      </c>
      <c r="E408" s="16">
        <v>200</v>
      </c>
      <c r="G408" s="16">
        <v>0</v>
      </c>
      <c r="I408" s="16">
        <v>1004</v>
      </c>
      <c r="K408" s="16">
        <v>0</v>
      </c>
      <c r="M408" s="16">
        <v>2604</v>
      </c>
      <c r="O408" s="16">
        <v>113</v>
      </c>
      <c r="Q408" s="16">
        <v>8155</v>
      </c>
      <c r="S408" s="16">
        <v>0</v>
      </c>
      <c r="U408" s="16">
        <v>0</v>
      </c>
      <c r="W408" s="16">
        <v>0</v>
      </c>
      <c r="Y408" s="16">
        <v>0</v>
      </c>
      <c r="AA408" s="16">
        <v>0</v>
      </c>
      <c r="AC408" s="16">
        <v>0</v>
      </c>
      <c r="AE408" s="16">
        <f t="shared" si="12"/>
        <v>12076</v>
      </c>
    </row>
    <row r="409" spans="1:31" ht="12.75" customHeight="1">
      <c r="A409" s="1" t="s">
        <v>638</v>
      </c>
      <c r="C409" s="1" t="s">
        <v>268</v>
      </c>
      <c r="E409" s="16">
        <v>6151</v>
      </c>
      <c r="G409" s="16">
        <v>2394</v>
      </c>
      <c r="I409" s="16">
        <v>984</v>
      </c>
      <c r="K409" s="16">
        <v>0</v>
      </c>
      <c r="M409" s="16">
        <v>0</v>
      </c>
      <c r="O409" s="16">
        <v>17206</v>
      </c>
      <c r="Q409" s="16">
        <v>23292</v>
      </c>
      <c r="S409" s="16">
        <v>0</v>
      </c>
      <c r="U409" s="16">
        <v>0</v>
      </c>
      <c r="W409" s="16">
        <v>0</v>
      </c>
      <c r="Y409" s="16">
        <v>0</v>
      </c>
      <c r="AA409" s="16">
        <v>0</v>
      </c>
      <c r="AC409" s="16">
        <v>0</v>
      </c>
      <c r="AE409" s="16">
        <f t="shared" si="12"/>
        <v>50027</v>
      </c>
    </row>
    <row r="410" spans="1:31" ht="12.75" customHeight="1">
      <c r="A410" s="1" t="s">
        <v>317</v>
      </c>
      <c r="B410" s="1"/>
      <c r="C410" s="1" t="s">
        <v>318</v>
      </c>
      <c r="E410" s="16">
        <v>638648</v>
      </c>
      <c r="G410" s="16">
        <v>36039</v>
      </c>
      <c r="I410" s="16">
        <v>8761</v>
      </c>
      <c r="K410" s="16">
        <v>44047</v>
      </c>
      <c r="M410" s="16">
        <v>144766</v>
      </c>
      <c r="O410" s="16">
        <v>96625</v>
      </c>
      <c r="Q410" s="16">
        <v>916271</v>
      </c>
      <c r="S410" s="16">
        <v>22568</v>
      </c>
      <c r="U410" s="16">
        <v>31635</v>
      </c>
      <c r="W410" s="16">
        <v>5638</v>
      </c>
      <c r="Y410" s="16">
        <v>10000</v>
      </c>
      <c r="AA410" s="16">
        <v>0</v>
      </c>
      <c r="AC410" s="16">
        <v>0</v>
      </c>
      <c r="AE410" s="16">
        <f t="shared" si="12"/>
        <v>1954998</v>
      </c>
    </row>
    <row r="411" spans="1:31" ht="12.75" customHeight="1">
      <c r="A411" s="1" t="s">
        <v>319</v>
      </c>
      <c r="B411" s="1"/>
      <c r="C411" s="1" t="s">
        <v>177</v>
      </c>
      <c r="E411" s="16">
        <v>769034</v>
      </c>
      <c r="G411" s="16">
        <v>15321</v>
      </c>
      <c r="I411" s="16">
        <v>217045</v>
      </c>
      <c r="K411" s="16">
        <v>0</v>
      </c>
      <c r="M411" s="16">
        <v>0</v>
      </c>
      <c r="O411" s="16">
        <v>481886</v>
      </c>
      <c r="Q411" s="16">
        <v>317027</v>
      </c>
      <c r="S411" s="16">
        <v>0</v>
      </c>
      <c r="U411" s="16">
        <v>37097</v>
      </c>
      <c r="W411" s="16">
        <v>7431</v>
      </c>
      <c r="Y411" s="16">
        <v>328327</v>
      </c>
      <c r="AA411" s="16">
        <v>0</v>
      </c>
      <c r="AC411" s="16">
        <v>0</v>
      </c>
      <c r="AE411" s="16">
        <f t="shared" si="12"/>
        <v>2173168</v>
      </c>
    </row>
    <row r="412" spans="1:31" ht="12.75" customHeight="1">
      <c r="A412" s="1" t="s">
        <v>320</v>
      </c>
      <c r="B412" s="1"/>
      <c r="C412" s="1" t="s">
        <v>67</v>
      </c>
      <c r="E412" s="16">
        <v>326627</v>
      </c>
      <c r="G412" s="16">
        <v>0</v>
      </c>
      <c r="I412" s="16">
        <v>147639</v>
      </c>
      <c r="K412" s="16">
        <v>0</v>
      </c>
      <c r="M412" s="16">
        <v>0</v>
      </c>
      <c r="O412" s="16">
        <v>0</v>
      </c>
      <c r="Q412" s="16">
        <v>272371</v>
      </c>
      <c r="S412" s="16">
        <v>208558</v>
      </c>
      <c r="U412" s="16">
        <v>908833</v>
      </c>
      <c r="W412" s="16">
        <v>0</v>
      </c>
      <c r="Y412" s="16">
        <v>121062</v>
      </c>
      <c r="AA412" s="16">
        <v>25000</v>
      </c>
      <c r="AC412" s="16">
        <v>924</v>
      </c>
      <c r="AE412" s="16">
        <f t="shared" si="12"/>
        <v>2011014</v>
      </c>
    </row>
    <row r="413" spans="1:31" ht="12.75" customHeight="1">
      <c r="A413" s="1" t="s">
        <v>321</v>
      </c>
      <c r="B413" s="1"/>
      <c r="C413" s="1" t="s">
        <v>129</v>
      </c>
      <c r="E413" s="16">
        <v>1044</v>
      </c>
      <c r="G413" s="16">
        <v>3129</v>
      </c>
      <c r="I413" s="16">
        <v>0</v>
      </c>
      <c r="K413" s="16">
        <v>0</v>
      </c>
      <c r="M413" s="16">
        <v>0</v>
      </c>
      <c r="O413" s="16">
        <v>0</v>
      </c>
      <c r="Q413" s="16">
        <v>10075</v>
      </c>
      <c r="S413" s="16">
        <v>0</v>
      </c>
      <c r="U413" s="16">
        <v>0</v>
      </c>
      <c r="W413" s="16">
        <v>0</v>
      </c>
      <c r="Y413" s="16">
        <v>0</v>
      </c>
      <c r="AA413" s="16">
        <v>1180</v>
      </c>
      <c r="AC413" s="16">
        <v>0</v>
      </c>
      <c r="AE413" s="16">
        <f t="shared" si="12"/>
        <v>15428</v>
      </c>
    </row>
    <row r="414" spans="1:31" ht="12.75" customHeight="1">
      <c r="A414" s="1" t="s">
        <v>686</v>
      </c>
      <c r="C414" s="1" t="s">
        <v>184</v>
      </c>
      <c r="E414" s="16">
        <v>43470</v>
      </c>
      <c r="G414" s="16">
        <v>20925</v>
      </c>
      <c r="I414" s="16">
        <v>8560</v>
      </c>
      <c r="K414" s="16">
        <v>100</v>
      </c>
      <c r="M414" s="16">
        <v>0</v>
      </c>
      <c r="O414" s="16">
        <v>24521</v>
      </c>
      <c r="Q414" s="16">
        <v>26106</v>
      </c>
      <c r="S414" s="16">
        <v>2285</v>
      </c>
      <c r="U414" s="16">
        <v>0</v>
      </c>
      <c r="W414" s="16">
        <v>0</v>
      </c>
      <c r="Y414" s="16">
        <v>0</v>
      </c>
      <c r="AA414" s="16">
        <v>0</v>
      </c>
      <c r="AC414" s="16">
        <v>0</v>
      </c>
      <c r="AE414" s="16">
        <f t="shared" si="12"/>
        <v>125967</v>
      </c>
    </row>
    <row r="415" spans="1:31" ht="12.75" customHeight="1">
      <c r="A415" s="1" t="s">
        <v>462</v>
      </c>
      <c r="C415" s="1" t="s">
        <v>177</v>
      </c>
      <c r="E415" s="16">
        <v>225115</v>
      </c>
      <c r="G415" s="16">
        <v>56</v>
      </c>
      <c r="I415" s="16">
        <v>29697</v>
      </c>
      <c r="K415" s="16">
        <v>0</v>
      </c>
      <c r="M415" s="16">
        <v>23733</v>
      </c>
      <c r="O415" s="16">
        <v>83300</v>
      </c>
      <c r="Q415" s="16">
        <v>241403</v>
      </c>
      <c r="S415" s="16">
        <v>600</v>
      </c>
      <c r="U415" s="16">
        <v>16924</v>
      </c>
      <c r="W415" s="16">
        <v>3543</v>
      </c>
      <c r="Y415" s="16">
        <v>41976</v>
      </c>
      <c r="AA415" s="16">
        <v>15000</v>
      </c>
      <c r="AC415" s="16">
        <v>0</v>
      </c>
      <c r="AE415" s="16">
        <f t="shared" si="12"/>
        <v>681347</v>
      </c>
    </row>
    <row r="416" spans="1:31" ht="12.75" customHeight="1">
      <c r="A416" s="1" t="s">
        <v>322</v>
      </c>
      <c r="B416" s="1"/>
      <c r="C416" s="1" t="s">
        <v>217</v>
      </c>
      <c r="E416" s="16">
        <v>1135035</v>
      </c>
      <c r="G416" s="16">
        <v>0</v>
      </c>
      <c r="I416" s="16">
        <v>63319</v>
      </c>
      <c r="K416" s="16">
        <v>36697</v>
      </c>
      <c r="M416" s="16">
        <v>0</v>
      </c>
      <c r="O416" s="16">
        <v>138127</v>
      </c>
      <c r="Q416" s="16">
        <v>354576</v>
      </c>
      <c r="S416" s="16">
        <v>264743</v>
      </c>
      <c r="U416" s="16">
        <v>2456360</v>
      </c>
      <c r="W416" s="16">
        <v>114139</v>
      </c>
      <c r="Y416" s="16">
        <v>1152746</v>
      </c>
      <c r="AA416" s="16">
        <v>0</v>
      </c>
      <c r="AC416" s="16">
        <v>11675</v>
      </c>
      <c r="AE416" s="16">
        <f t="shared" si="12"/>
        <v>5727417</v>
      </c>
    </row>
    <row r="417" spans="1:31" ht="12.75" customHeight="1">
      <c r="A417" s="1" t="s">
        <v>323</v>
      </c>
      <c r="B417" s="1"/>
      <c r="C417" s="1" t="s">
        <v>303</v>
      </c>
      <c r="E417" s="16">
        <v>372397</v>
      </c>
      <c r="G417" s="16">
        <v>17938</v>
      </c>
      <c r="I417" s="16">
        <v>0</v>
      </c>
      <c r="K417" s="16">
        <v>2650</v>
      </c>
      <c r="M417" s="16">
        <v>0</v>
      </c>
      <c r="O417" s="16">
        <v>74461</v>
      </c>
      <c r="Q417" s="16">
        <v>285316</v>
      </c>
      <c r="S417" s="16">
        <v>62793</v>
      </c>
      <c r="U417" s="16">
        <v>70844</v>
      </c>
      <c r="W417" s="16">
        <v>2010</v>
      </c>
      <c r="Y417" s="16">
        <v>394572</v>
      </c>
      <c r="AA417" s="16">
        <v>0</v>
      </c>
      <c r="AC417" s="16">
        <v>25000</v>
      </c>
      <c r="AE417" s="16">
        <f t="shared" si="12"/>
        <v>1307981</v>
      </c>
    </row>
    <row r="418" spans="1:31" ht="12.75" customHeight="1">
      <c r="A418" s="1" t="s">
        <v>522</v>
      </c>
      <c r="C418" s="1" t="s">
        <v>78</v>
      </c>
      <c r="E418" s="16">
        <v>122608</v>
      </c>
      <c r="G418" s="16">
        <v>3406</v>
      </c>
      <c r="I418" s="16">
        <v>4716</v>
      </c>
      <c r="K418" s="16">
        <v>31000</v>
      </c>
      <c r="M418" s="16">
        <v>73663</v>
      </c>
      <c r="O418" s="16">
        <v>69242</v>
      </c>
      <c r="Q418" s="16">
        <v>26717</v>
      </c>
      <c r="S418" s="16">
        <v>74750</v>
      </c>
      <c r="U418" s="16">
        <v>0</v>
      </c>
      <c r="W418" s="16">
        <v>40910</v>
      </c>
      <c r="Y418" s="16">
        <v>0</v>
      </c>
      <c r="AA418" s="16">
        <v>0</v>
      </c>
      <c r="AC418" s="16">
        <v>0</v>
      </c>
      <c r="AE418" s="16">
        <f aca="true" t="shared" si="13" ref="AE418:AE447">SUM(E418:AC418)</f>
        <v>447012</v>
      </c>
    </row>
    <row r="419" spans="1:31" ht="12.75" customHeight="1">
      <c r="A419" s="1" t="s">
        <v>633</v>
      </c>
      <c r="C419" s="1" t="s">
        <v>378</v>
      </c>
      <c r="E419" s="16">
        <v>291741</v>
      </c>
      <c r="G419" s="16">
        <v>5946</v>
      </c>
      <c r="I419" s="16">
        <v>73683</v>
      </c>
      <c r="K419" s="16">
        <v>3175</v>
      </c>
      <c r="M419" s="16">
        <v>0</v>
      </c>
      <c r="O419" s="16">
        <v>38804</v>
      </c>
      <c r="Q419" s="16">
        <v>143192</v>
      </c>
      <c r="S419" s="16">
        <v>146614</v>
      </c>
      <c r="U419" s="16">
        <v>0</v>
      </c>
      <c r="W419" s="16">
        <v>0</v>
      </c>
      <c r="Y419" s="16">
        <v>25000</v>
      </c>
      <c r="AA419" s="16">
        <v>150000</v>
      </c>
      <c r="AC419" s="16">
        <v>20</v>
      </c>
      <c r="AE419" s="16">
        <f t="shared" si="13"/>
        <v>878175</v>
      </c>
    </row>
    <row r="420" spans="1:31" ht="12.75" customHeight="1">
      <c r="A420" s="1" t="s">
        <v>699</v>
      </c>
      <c r="C420" s="1" t="s">
        <v>225</v>
      </c>
      <c r="E420" s="16">
        <v>109597</v>
      </c>
      <c r="G420" s="16">
        <v>0</v>
      </c>
      <c r="I420" s="16">
        <v>387</v>
      </c>
      <c r="K420" s="16">
        <v>1686</v>
      </c>
      <c r="M420" s="16">
        <v>0</v>
      </c>
      <c r="O420" s="16">
        <v>61919</v>
      </c>
      <c r="Q420" s="16">
        <v>70040</v>
      </c>
      <c r="S420" s="16">
        <v>97451</v>
      </c>
      <c r="U420" s="16">
        <v>0</v>
      </c>
      <c r="W420" s="16">
        <v>0</v>
      </c>
      <c r="Y420" s="16">
        <v>7088</v>
      </c>
      <c r="AA420" s="16">
        <v>0</v>
      </c>
      <c r="AC420" s="16">
        <v>23520</v>
      </c>
      <c r="AE420" s="16">
        <f t="shared" si="13"/>
        <v>371688</v>
      </c>
    </row>
    <row r="421" spans="1:31" ht="12.75" customHeight="1">
      <c r="A421" s="1" t="s">
        <v>496</v>
      </c>
      <c r="C421" s="1" t="s">
        <v>102</v>
      </c>
      <c r="E421" s="16">
        <v>812133</v>
      </c>
      <c r="G421" s="16">
        <v>20244</v>
      </c>
      <c r="I421" s="16">
        <v>22719</v>
      </c>
      <c r="K421" s="16">
        <v>21851</v>
      </c>
      <c r="M421" s="16">
        <v>0</v>
      </c>
      <c r="O421" s="16">
        <v>157386</v>
      </c>
      <c r="Q421" s="16">
        <v>426236</v>
      </c>
      <c r="S421" s="16">
        <v>73534</v>
      </c>
      <c r="U421" s="16">
        <v>20000</v>
      </c>
      <c r="W421" s="16">
        <v>174268</v>
      </c>
      <c r="Y421" s="16">
        <v>77773</v>
      </c>
      <c r="AA421" s="16">
        <v>0</v>
      </c>
      <c r="AC421" s="16">
        <v>23276</v>
      </c>
      <c r="AE421" s="16">
        <f t="shared" si="13"/>
        <v>1829420</v>
      </c>
    </row>
    <row r="422" spans="1:31" ht="12.75" customHeight="1">
      <c r="A422" s="1" t="s">
        <v>724</v>
      </c>
      <c r="C422" s="1" t="s">
        <v>118</v>
      </c>
      <c r="E422" s="16">
        <v>95346</v>
      </c>
      <c r="G422" s="16">
        <v>0</v>
      </c>
      <c r="I422" s="16">
        <v>431</v>
      </c>
      <c r="K422" s="16">
        <v>0</v>
      </c>
      <c r="M422" s="16">
        <v>0</v>
      </c>
      <c r="O422" s="16">
        <v>13887</v>
      </c>
      <c r="Q422" s="16">
        <v>65321</v>
      </c>
      <c r="S422" s="16">
        <v>158447</v>
      </c>
      <c r="U422" s="16">
        <v>0</v>
      </c>
      <c r="W422" s="16">
        <v>0</v>
      </c>
      <c r="Y422" s="16">
        <v>0</v>
      </c>
      <c r="AA422" s="16">
        <v>0</v>
      </c>
      <c r="AC422" s="16">
        <v>0</v>
      </c>
      <c r="AE422" s="16">
        <f t="shared" si="13"/>
        <v>333432</v>
      </c>
    </row>
    <row r="423" spans="1:31" ht="12.75" customHeight="1">
      <c r="A423" s="1" t="s">
        <v>501</v>
      </c>
      <c r="C423" s="1" t="s">
        <v>122</v>
      </c>
      <c r="E423" s="16">
        <v>75367</v>
      </c>
      <c r="G423" s="16">
        <v>0</v>
      </c>
      <c r="I423" s="16">
        <v>0</v>
      </c>
      <c r="K423" s="16">
        <v>0</v>
      </c>
      <c r="M423" s="16">
        <v>2943</v>
      </c>
      <c r="O423" s="16">
        <v>14401</v>
      </c>
      <c r="Q423" s="16">
        <v>76587</v>
      </c>
      <c r="S423" s="16">
        <v>0</v>
      </c>
      <c r="U423" s="16">
        <v>10408</v>
      </c>
      <c r="W423" s="16">
        <v>20000</v>
      </c>
      <c r="Y423" s="16">
        <v>21477</v>
      </c>
      <c r="AA423" s="16">
        <v>3000</v>
      </c>
      <c r="AC423" s="16">
        <v>0</v>
      </c>
      <c r="AE423" s="16">
        <f t="shared" si="13"/>
        <v>224183</v>
      </c>
    </row>
    <row r="424" spans="1:31" ht="12.75" customHeight="1">
      <c r="A424" s="1" t="s">
        <v>513</v>
      </c>
      <c r="C424" s="1" t="s">
        <v>160</v>
      </c>
      <c r="E424" s="16">
        <v>242163</v>
      </c>
      <c r="G424" s="16">
        <v>3677</v>
      </c>
      <c r="I424" s="16">
        <v>20182</v>
      </c>
      <c r="K424" s="16">
        <v>25783</v>
      </c>
      <c r="M424" s="16">
        <v>0</v>
      </c>
      <c r="O424" s="16">
        <v>86630</v>
      </c>
      <c r="Q424" s="16">
        <v>217105</v>
      </c>
      <c r="S424" s="16">
        <v>0</v>
      </c>
      <c r="U424" s="16">
        <v>48797</v>
      </c>
      <c r="W424" s="16">
        <v>10173</v>
      </c>
      <c r="Y424" s="16">
        <v>30000</v>
      </c>
      <c r="AA424" s="16">
        <v>0</v>
      </c>
      <c r="AC424" s="16">
        <v>0</v>
      </c>
      <c r="AE424" s="16">
        <f t="shared" si="13"/>
        <v>684510</v>
      </c>
    </row>
    <row r="425" spans="1:31" ht="12.75" customHeight="1">
      <c r="A425" s="1" t="s">
        <v>507</v>
      </c>
      <c r="C425" s="1" t="s">
        <v>414</v>
      </c>
      <c r="E425" s="16">
        <v>230387</v>
      </c>
      <c r="G425" s="16">
        <v>0</v>
      </c>
      <c r="I425" s="16">
        <v>11977</v>
      </c>
      <c r="K425" s="16">
        <v>0</v>
      </c>
      <c r="M425" s="16">
        <v>0</v>
      </c>
      <c r="O425" s="16">
        <v>62392</v>
      </c>
      <c r="Q425" s="16">
        <v>45605</v>
      </c>
      <c r="S425" s="16">
        <v>0</v>
      </c>
      <c r="U425" s="16">
        <v>2816</v>
      </c>
      <c r="W425" s="16">
        <v>13848</v>
      </c>
      <c r="Y425" s="16">
        <v>0</v>
      </c>
      <c r="AA425" s="16">
        <v>40000</v>
      </c>
      <c r="AC425" s="16">
        <v>492</v>
      </c>
      <c r="AE425" s="16">
        <f t="shared" si="13"/>
        <v>407517</v>
      </c>
    </row>
    <row r="426" spans="1:31" ht="12.75" customHeight="1">
      <c r="A426" s="1" t="s">
        <v>324</v>
      </c>
      <c r="B426" s="1"/>
      <c r="C426" s="1" t="s">
        <v>78</v>
      </c>
      <c r="E426" s="16">
        <v>6632</v>
      </c>
      <c r="G426" s="16">
        <v>571</v>
      </c>
      <c r="I426" s="16">
        <v>570</v>
      </c>
      <c r="K426" s="16">
        <v>1164</v>
      </c>
      <c r="M426" s="16">
        <v>15672</v>
      </c>
      <c r="O426" s="16">
        <v>932</v>
      </c>
      <c r="Q426" s="16">
        <v>17941</v>
      </c>
      <c r="S426" s="16">
        <v>932470</v>
      </c>
      <c r="U426" s="16">
        <v>0</v>
      </c>
      <c r="W426" s="16">
        <v>0</v>
      </c>
      <c r="Y426" s="16">
        <v>0</v>
      </c>
      <c r="AA426" s="16">
        <v>0</v>
      </c>
      <c r="AC426" s="16">
        <v>0</v>
      </c>
      <c r="AE426" s="16">
        <f t="shared" si="13"/>
        <v>975952</v>
      </c>
    </row>
    <row r="427" spans="1:31" ht="12.75" customHeight="1">
      <c r="A427" s="1" t="s">
        <v>325</v>
      </c>
      <c r="B427" s="1"/>
      <c r="C427" s="1" t="s">
        <v>112</v>
      </c>
      <c r="E427" s="16">
        <v>1040917</v>
      </c>
      <c r="G427" s="16">
        <v>1870</v>
      </c>
      <c r="I427" s="16">
        <v>11770</v>
      </c>
      <c r="K427" s="16">
        <v>64903</v>
      </c>
      <c r="M427" s="16">
        <v>84132</v>
      </c>
      <c r="O427" s="16">
        <v>179328</v>
      </c>
      <c r="Q427" s="16">
        <v>483265</v>
      </c>
      <c r="S427" s="16">
        <v>94274</v>
      </c>
      <c r="U427" s="16">
        <v>0</v>
      </c>
      <c r="W427" s="16">
        <v>0</v>
      </c>
      <c r="Y427" s="16">
        <v>0</v>
      </c>
      <c r="AA427" s="16">
        <v>0</v>
      </c>
      <c r="AC427" s="16">
        <v>0</v>
      </c>
      <c r="AE427" s="16">
        <f t="shared" si="13"/>
        <v>1960459</v>
      </c>
    </row>
    <row r="428" spans="1:31" ht="12.75" customHeight="1">
      <c r="A428" s="1" t="s">
        <v>326</v>
      </c>
      <c r="B428" s="1"/>
      <c r="C428" s="1" t="s">
        <v>96</v>
      </c>
      <c r="E428" s="16">
        <v>622752</v>
      </c>
      <c r="G428" s="16">
        <v>3009</v>
      </c>
      <c r="I428" s="16">
        <v>41317</v>
      </c>
      <c r="K428" s="16">
        <v>0</v>
      </c>
      <c r="M428" s="16">
        <v>4869</v>
      </c>
      <c r="O428" s="16">
        <v>1095644</v>
      </c>
      <c r="Q428" s="16">
        <v>331089</v>
      </c>
      <c r="S428" s="16">
        <v>25155</v>
      </c>
      <c r="U428" s="16">
        <v>66264</v>
      </c>
      <c r="W428" s="16">
        <v>84</v>
      </c>
      <c r="Y428" s="16">
        <v>115500</v>
      </c>
      <c r="AA428" s="16">
        <v>0</v>
      </c>
      <c r="AC428" s="16">
        <v>2394</v>
      </c>
      <c r="AE428" s="16">
        <f t="shared" si="13"/>
        <v>2308077</v>
      </c>
    </row>
    <row r="429" spans="1:31" ht="12.75" customHeight="1">
      <c r="A429" s="1" t="s">
        <v>495</v>
      </c>
      <c r="C429" s="1" t="s">
        <v>102</v>
      </c>
      <c r="E429" s="16">
        <v>65718</v>
      </c>
      <c r="G429" s="16">
        <v>0</v>
      </c>
      <c r="I429" s="16">
        <v>0</v>
      </c>
      <c r="K429" s="16">
        <v>0</v>
      </c>
      <c r="M429" s="16">
        <v>0</v>
      </c>
      <c r="O429" s="16">
        <v>43962</v>
      </c>
      <c r="Q429" s="16">
        <v>82627</v>
      </c>
      <c r="S429" s="16">
        <v>38887</v>
      </c>
      <c r="U429" s="16">
        <v>0</v>
      </c>
      <c r="W429" s="16">
        <v>0</v>
      </c>
      <c r="Y429" s="16">
        <v>0</v>
      </c>
      <c r="AA429" s="16">
        <v>0</v>
      </c>
      <c r="AC429" s="16">
        <v>4267</v>
      </c>
      <c r="AE429" s="16">
        <f t="shared" si="13"/>
        <v>235461</v>
      </c>
    </row>
    <row r="430" spans="1:31" ht="12.75" customHeight="1">
      <c r="A430" s="1" t="s">
        <v>327</v>
      </c>
      <c r="B430" s="1"/>
      <c r="C430" s="1" t="s">
        <v>102</v>
      </c>
      <c r="E430" s="16">
        <v>65718</v>
      </c>
      <c r="G430" s="16">
        <v>0</v>
      </c>
      <c r="I430" s="16">
        <v>0</v>
      </c>
      <c r="K430" s="16">
        <v>0</v>
      </c>
      <c r="M430" s="16">
        <v>43962</v>
      </c>
      <c r="O430" s="16">
        <v>0</v>
      </c>
      <c r="Q430" s="16">
        <v>82627</v>
      </c>
      <c r="S430" s="16">
        <v>0</v>
      </c>
      <c r="U430" s="16">
        <v>38887</v>
      </c>
      <c r="W430" s="16">
        <v>0</v>
      </c>
      <c r="Y430" s="16">
        <v>0</v>
      </c>
      <c r="AA430" s="16">
        <v>0</v>
      </c>
      <c r="AC430" s="16">
        <v>4267</v>
      </c>
      <c r="AE430" s="16">
        <f t="shared" si="13"/>
        <v>235461</v>
      </c>
    </row>
    <row r="431" spans="1:31" ht="12.75" customHeight="1">
      <c r="A431" s="1" t="s">
        <v>569</v>
      </c>
      <c r="C431" s="1" t="s">
        <v>73</v>
      </c>
      <c r="E431" s="16">
        <v>1133391</v>
      </c>
      <c r="G431" s="16">
        <v>11080</v>
      </c>
      <c r="I431" s="16">
        <v>19242</v>
      </c>
      <c r="K431" s="16">
        <v>0</v>
      </c>
      <c r="M431" s="16">
        <v>85538</v>
      </c>
      <c r="O431" s="16">
        <v>220289</v>
      </c>
      <c r="Q431" s="16">
        <v>347424</v>
      </c>
      <c r="S431" s="16">
        <v>598447</v>
      </c>
      <c r="U431" s="16">
        <v>0</v>
      </c>
      <c r="W431" s="16">
        <v>0</v>
      </c>
      <c r="Y431" s="16">
        <v>326293</v>
      </c>
      <c r="AA431" s="16">
        <v>152000</v>
      </c>
      <c r="AC431" s="16">
        <v>4872</v>
      </c>
      <c r="AE431" s="16">
        <f t="shared" si="13"/>
        <v>2898576</v>
      </c>
    </row>
    <row r="432" spans="1:31" ht="12.75" customHeight="1">
      <c r="A432" s="1" t="s">
        <v>524</v>
      </c>
      <c r="C432" s="1" t="s">
        <v>244</v>
      </c>
      <c r="E432" s="16">
        <v>13573</v>
      </c>
      <c r="G432" s="16">
        <v>3415</v>
      </c>
      <c r="I432" s="16">
        <v>1180</v>
      </c>
      <c r="K432" s="16">
        <v>0</v>
      </c>
      <c r="M432" s="16">
        <v>87595</v>
      </c>
      <c r="O432" s="16">
        <v>48986</v>
      </c>
      <c r="Q432" s="16">
        <v>53379</v>
      </c>
      <c r="S432" s="16">
        <v>3661</v>
      </c>
      <c r="U432" s="16">
        <v>0</v>
      </c>
      <c r="W432" s="16">
        <v>0</v>
      </c>
      <c r="Y432" s="16">
        <v>0</v>
      </c>
      <c r="AA432" s="16">
        <v>0</v>
      </c>
      <c r="AC432" s="16">
        <v>0</v>
      </c>
      <c r="AE432" s="16">
        <f t="shared" si="13"/>
        <v>211789</v>
      </c>
    </row>
    <row r="433" spans="1:31" ht="12.75" customHeight="1">
      <c r="A433" s="1" t="s">
        <v>328</v>
      </c>
      <c r="B433" s="1"/>
      <c r="C433" s="1" t="s">
        <v>94</v>
      </c>
      <c r="E433" s="16">
        <v>478278</v>
      </c>
      <c r="G433" s="16">
        <v>27040</v>
      </c>
      <c r="I433" s="16">
        <v>23195</v>
      </c>
      <c r="K433" s="16">
        <v>21120</v>
      </c>
      <c r="M433" s="16">
        <v>26610</v>
      </c>
      <c r="O433" s="16">
        <v>170884</v>
      </c>
      <c r="Q433" s="16">
        <v>208842</v>
      </c>
      <c r="S433" s="16">
        <v>737430</v>
      </c>
      <c r="U433" s="16">
        <v>90929</v>
      </c>
      <c r="W433" s="16">
        <v>0</v>
      </c>
      <c r="Y433" s="16">
        <v>120516</v>
      </c>
      <c r="AA433" s="16">
        <v>0</v>
      </c>
      <c r="AC433" s="16">
        <v>32325</v>
      </c>
      <c r="AE433" s="16">
        <f t="shared" si="13"/>
        <v>1937169</v>
      </c>
    </row>
    <row r="434" spans="1:31" ht="12.75" customHeight="1">
      <c r="A434" s="1" t="s">
        <v>570</v>
      </c>
      <c r="C434" s="1" t="s">
        <v>73</v>
      </c>
      <c r="E434" s="16">
        <v>162720</v>
      </c>
      <c r="G434" s="16">
        <v>0</v>
      </c>
      <c r="I434" s="16">
        <v>7193</v>
      </c>
      <c r="K434" s="16">
        <v>0</v>
      </c>
      <c r="M434" s="16">
        <v>8472</v>
      </c>
      <c r="O434" s="16">
        <v>57622</v>
      </c>
      <c r="Q434" s="16">
        <v>85182</v>
      </c>
      <c r="S434" s="16">
        <v>18180</v>
      </c>
      <c r="U434" s="16">
        <v>0</v>
      </c>
      <c r="W434" s="16">
        <v>0</v>
      </c>
      <c r="Y434" s="16">
        <v>23835</v>
      </c>
      <c r="AA434" s="16">
        <v>0</v>
      </c>
      <c r="AC434" s="16">
        <v>3357</v>
      </c>
      <c r="AE434" s="16">
        <f t="shared" si="13"/>
        <v>366561</v>
      </c>
    </row>
    <row r="435" spans="1:31" ht="12.75" customHeight="1">
      <c r="A435" s="1" t="s">
        <v>594</v>
      </c>
      <c r="C435" s="1" t="s">
        <v>303</v>
      </c>
      <c r="E435" s="16">
        <v>6290</v>
      </c>
      <c r="G435" s="16">
        <v>302</v>
      </c>
      <c r="I435" s="16">
        <v>16620</v>
      </c>
      <c r="K435" s="16">
        <v>3394</v>
      </c>
      <c r="M435" s="16">
        <v>19067</v>
      </c>
      <c r="O435" s="16">
        <v>14784</v>
      </c>
      <c r="Q435" s="16">
        <v>84807</v>
      </c>
      <c r="S435" s="16">
        <v>0</v>
      </c>
      <c r="U435" s="16">
        <v>0</v>
      </c>
      <c r="W435" s="16">
        <v>0</v>
      </c>
      <c r="Y435" s="16">
        <v>33</v>
      </c>
      <c r="AA435" s="16">
        <v>0</v>
      </c>
      <c r="AC435" s="16">
        <v>0</v>
      </c>
      <c r="AE435" s="16">
        <f t="shared" si="13"/>
        <v>145297</v>
      </c>
    </row>
    <row r="436" spans="1:31" ht="12.75" customHeight="1">
      <c r="A436" s="1" t="s">
        <v>488</v>
      </c>
      <c r="C436" s="1" t="s">
        <v>194</v>
      </c>
      <c r="E436" s="16">
        <v>89478</v>
      </c>
      <c r="G436" s="16">
        <v>4216</v>
      </c>
      <c r="I436" s="16">
        <v>2359</v>
      </c>
      <c r="K436" s="16">
        <v>0</v>
      </c>
      <c r="M436" s="16">
        <v>0</v>
      </c>
      <c r="O436" s="16">
        <v>4776</v>
      </c>
      <c r="Q436" s="16">
        <v>70902</v>
      </c>
      <c r="S436" s="16">
        <v>0</v>
      </c>
      <c r="U436" s="16">
        <v>0</v>
      </c>
      <c r="W436" s="16">
        <v>0</v>
      </c>
      <c r="Y436" s="16">
        <v>3531</v>
      </c>
      <c r="AA436" s="16">
        <v>8657</v>
      </c>
      <c r="AC436" s="16">
        <v>644</v>
      </c>
      <c r="AE436" s="16">
        <f t="shared" si="13"/>
        <v>184563</v>
      </c>
    </row>
    <row r="437" spans="1:31" ht="12.75" customHeight="1">
      <c r="A437" s="1" t="s">
        <v>457</v>
      </c>
      <c r="C437" s="1" t="s">
        <v>76</v>
      </c>
      <c r="E437" s="16">
        <v>458205</v>
      </c>
      <c r="G437" s="16">
        <v>27731</v>
      </c>
      <c r="I437" s="16">
        <v>8552</v>
      </c>
      <c r="K437" s="16">
        <v>3686</v>
      </c>
      <c r="M437" s="16">
        <v>0</v>
      </c>
      <c r="O437" s="16">
        <v>247543</v>
      </c>
      <c r="Q437" s="16">
        <v>309936</v>
      </c>
      <c r="S437" s="16">
        <v>62372</v>
      </c>
      <c r="U437" s="16">
        <v>170600</v>
      </c>
      <c r="W437" s="16">
        <v>19362</v>
      </c>
      <c r="Y437" s="16">
        <v>65544</v>
      </c>
      <c r="AA437" s="16">
        <v>0</v>
      </c>
      <c r="AC437" s="16">
        <v>0</v>
      </c>
      <c r="AE437" s="16">
        <f t="shared" si="13"/>
        <v>1373531</v>
      </c>
    </row>
    <row r="438" spans="1:31" ht="12.75" customHeight="1">
      <c r="A438" s="1" t="s">
        <v>329</v>
      </c>
      <c r="B438" s="1"/>
      <c r="C438" s="1" t="s">
        <v>312</v>
      </c>
      <c r="E438" s="16">
        <v>102411</v>
      </c>
      <c r="G438" s="16">
        <v>4397</v>
      </c>
      <c r="I438" s="16">
        <v>2280</v>
      </c>
      <c r="K438" s="16">
        <v>0</v>
      </c>
      <c r="M438" s="16">
        <v>0</v>
      </c>
      <c r="O438" s="16">
        <v>45739</v>
      </c>
      <c r="Q438" s="16">
        <v>261538</v>
      </c>
      <c r="S438" s="16">
        <v>46651</v>
      </c>
      <c r="U438" s="16">
        <v>0</v>
      </c>
      <c r="W438" s="16">
        <v>0</v>
      </c>
      <c r="Y438" s="16">
        <v>0</v>
      </c>
      <c r="AA438" s="16">
        <v>0</v>
      </c>
      <c r="AC438" s="16">
        <v>0</v>
      </c>
      <c r="AE438" s="16">
        <f t="shared" si="13"/>
        <v>463016</v>
      </c>
    </row>
    <row r="439" spans="1:31" ht="12.75" customHeight="1">
      <c r="A439" s="1" t="s">
        <v>607</v>
      </c>
      <c r="C439" s="1" t="s">
        <v>197</v>
      </c>
      <c r="E439" s="16">
        <v>167844</v>
      </c>
      <c r="G439" s="16">
        <v>105514</v>
      </c>
      <c r="I439" s="16">
        <v>505628</v>
      </c>
      <c r="K439" s="16">
        <v>72768</v>
      </c>
      <c r="M439" s="16">
        <v>228386</v>
      </c>
      <c r="O439" s="16">
        <v>31455</v>
      </c>
      <c r="Q439" s="16">
        <v>377089</v>
      </c>
      <c r="S439" s="16">
        <v>141262</v>
      </c>
      <c r="U439" s="16">
        <v>0</v>
      </c>
      <c r="W439" s="16">
        <v>0</v>
      </c>
      <c r="Y439" s="16">
        <v>0</v>
      </c>
      <c r="AA439" s="16">
        <v>0</v>
      </c>
      <c r="AC439" s="16">
        <v>58220</v>
      </c>
      <c r="AE439" s="16">
        <f t="shared" si="13"/>
        <v>1688166</v>
      </c>
    </row>
    <row r="440" spans="1:31" ht="12.75" customHeight="1">
      <c r="A440" s="1" t="s">
        <v>518</v>
      </c>
      <c r="C440" s="1" t="s">
        <v>112</v>
      </c>
      <c r="E440" s="16">
        <v>1340197</v>
      </c>
      <c r="G440" s="16">
        <v>1363</v>
      </c>
      <c r="I440" s="16">
        <v>5404</v>
      </c>
      <c r="K440" s="16">
        <v>196299</v>
      </c>
      <c r="M440" s="16">
        <v>116167</v>
      </c>
      <c r="O440" s="16">
        <v>10186</v>
      </c>
      <c r="Q440" s="16">
        <v>683103</v>
      </c>
      <c r="S440" s="16">
        <v>44171</v>
      </c>
      <c r="U440" s="16">
        <v>0</v>
      </c>
      <c r="W440" s="16">
        <v>412210</v>
      </c>
      <c r="Y440" s="16">
        <v>56630</v>
      </c>
      <c r="AA440" s="16">
        <v>0</v>
      </c>
      <c r="AC440" s="16">
        <v>0</v>
      </c>
      <c r="AE440" s="16">
        <f t="shared" si="13"/>
        <v>2865730</v>
      </c>
    </row>
    <row r="441" spans="1:31" ht="12.75" customHeight="1">
      <c r="A441" s="1" t="s">
        <v>330</v>
      </c>
      <c r="B441" s="1"/>
      <c r="C441" s="1" t="s">
        <v>160</v>
      </c>
      <c r="E441" s="16">
        <v>3608</v>
      </c>
      <c r="G441" s="16">
        <v>399</v>
      </c>
      <c r="I441" s="16">
        <v>0</v>
      </c>
      <c r="K441" s="16">
        <v>0</v>
      </c>
      <c r="M441" s="16">
        <v>2360</v>
      </c>
      <c r="O441" s="16">
        <v>500</v>
      </c>
      <c r="Q441" s="16">
        <v>20620</v>
      </c>
      <c r="S441" s="16">
        <v>0</v>
      </c>
      <c r="U441" s="16">
        <v>0</v>
      </c>
      <c r="W441" s="16">
        <v>0</v>
      </c>
      <c r="Y441" s="16">
        <v>0</v>
      </c>
      <c r="AA441" s="16">
        <v>0</v>
      </c>
      <c r="AC441" s="16">
        <v>0</v>
      </c>
      <c r="AE441" s="16">
        <f t="shared" si="13"/>
        <v>27487</v>
      </c>
    </row>
    <row r="442" spans="1:31" ht="12.75" customHeight="1">
      <c r="A442" s="1" t="s">
        <v>331</v>
      </c>
      <c r="B442" s="1"/>
      <c r="C442" s="1" t="s">
        <v>78</v>
      </c>
      <c r="E442" s="16">
        <v>4041</v>
      </c>
      <c r="G442" s="16">
        <v>1071</v>
      </c>
      <c r="I442" s="16">
        <v>4447</v>
      </c>
      <c r="K442" s="16">
        <v>0</v>
      </c>
      <c r="M442" s="16">
        <v>3357</v>
      </c>
      <c r="O442" s="16">
        <v>28425</v>
      </c>
      <c r="Q442" s="16">
        <v>12199</v>
      </c>
      <c r="S442" s="16">
        <v>209423</v>
      </c>
      <c r="U442" s="16">
        <v>0</v>
      </c>
      <c r="W442" s="16">
        <v>0</v>
      </c>
      <c r="Y442" s="16">
        <v>0</v>
      </c>
      <c r="AA442" s="16">
        <v>0</v>
      </c>
      <c r="AC442" s="16">
        <v>0</v>
      </c>
      <c r="AE442" s="16">
        <f t="shared" si="13"/>
        <v>262963</v>
      </c>
    </row>
    <row r="443" spans="1:31" ht="12.75" customHeight="1">
      <c r="A443" s="1" t="s">
        <v>332</v>
      </c>
      <c r="B443" s="1"/>
      <c r="C443" s="1" t="s">
        <v>129</v>
      </c>
      <c r="E443" s="16">
        <v>1094948</v>
      </c>
      <c r="G443" s="16">
        <v>34857</v>
      </c>
      <c r="I443" s="16">
        <v>16925</v>
      </c>
      <c r="K443" s="16">
        <v>1709</v>
      </c>
      <c r="M443" s="16">
        <v>0</v>
      </c>
      <c r="O443" s="16">
        <v>432571</v>
      </c>
      <c r="Q443" s="16">
        <v>534768</v>
      </c>
      <c r="S443" s="16">
        <v>29794</v>
      </c>
      <c r="U443" s="16">
        <v>0</v>
      </c>
      <c r="W443" s="16">
        <v>0</v>
      </c>
      <c r="Y443" s="16">
        <v>20000</v>
      </c>
      <c r="AA443" s="16">
        <v>0</v>
      </c>
      <c r="AC443" s="16">
        <v>0</v>
      </c>
      <c r="AE443" s="16">
        <f t="shared" si="13"/>
        <v>2165572</v>
      </c>
    </row>
    <row r="444" spans="1:31" ht="12.75" customHeight="1">
      <c r="A444" s="1" t="s">
        <v>670</v>
      </c>
      <c r="C444" s="1" t="s">
        <v>67</v>
      </c>
      <c r="E444" s="16">
        <v>1208</v>
      </c>
      <c r="G444" s="16">
        <v>0</v>
      </c>
      <c r="I444" s="16">
        <v>315</v>
      </c>
      <c r="K444" s="16">
        <v>0</v>
      </c>
      <c r="M444" s="16">
        <v>0</v>
      </c>
      <c r="O444" s="16">
        <v>721</v>
      </c>
      <c r="Q444" s="16">
        <v>8680</v>
      </c>
      <c r="S444" s="16">
        <v>767</v>
      </c>
      <c r="U444" s="16">
        <v>0</v>
      </c>
      <c r="W444" s="16">
        <v>0</v>
      </c>
      <c r="Y444" s="16">
        <v>0</v>
      </c>
      <c r="AA444" s="16">
        <v>0</v>
      </c>
      <c r="AC444" s="16">
        <v>26</v>
      </c>
      <c r="AE444" s="16">
        <f t="shared" si="13"/>
        <v>11717</v>
      </c>
    </row>
    <row r="445" spans="1:31" ht="12.75" customHeight="1">
      <c r="A445" s="1" t="s">
        <v>333</v>
      </c>
      <c r="B445" s="1"/>
      <c r="C445" s="1" t="s">
        <v>215</v>
      </c>
      <c r="E445" s="16">
        <v>599074</v>
      </c>
      <c r="G445" s="16">
        <v>6599</v>
      </c>
      <c r="I445" s="16">
        <v>31659</v>
      </c>
      <c r="K445" s="16">
        <v>746</v>
      </c>
      <c r="M445" s="16">
        <v>0</v>
      </c>
      <c r="O445" s="16">
        <v>394394</v>
      </c>
      <c r="Q445" s="16">
        <v>200266</v>
      </c>
      <c r="S445" s="16">
        <v>507547</v>
      </c>
      <c r="U445" s="16">
        <v>0</v>
      </c>
      <c r="W445" s="16">
        <v>0</v>
      </c>
      <c r="Y445" s="16">
        <v>63000</v>
      </c>
      <c r="AA445" s="16">
        <v>0</v>
      </c>
      <c r="AC445" s="16">
        <v>0</v>
      </c>
      <c r="AE445" s="16">
        <f t="shared" si="13"/>
        <v>1803285</v>
      </c>
    </row>
    <row r="446" spans="1:33" s="16" customFormat="1" ht="12.75" customHeight="1">
      <c r="A446" s="16" t="s">
        <v>595</v>
      </c>
      <c r="B446" s="41"/>
      <c r="C446" s="16" t="s">
        <v>596</v>
      </c>
      <c r="E446" s="16">
        <v>180014</v>
      </c>
      <c r="G446" s="16">
        <v>78938</v>
      </c>
      <c r="I446" s="16">
        <v>0</v>
      </c>
      <c r="K446" s="16">
        <v>0</v>
      </c>
      <c r="M446" s="16">
        <v>24261</v>
      </c>
      <c r="O446" s="16">
        <v>57339</v>
      </c>
      <c r="Q446" s="16">
        <v>35730</v>
      </c>
      <c r="S446" s="16">
        <v>73220</v>
      </c>
      <c r="U446" s="16">
        <v>0</v>
      </c>
      <c r="W446" s="16">
        <v>0</v>
      </c>
      <c r="Y446" s="16">
        <v>1915</v>
      </c>
      <c r="AA446" s="16">
        <v>29775</v>
      </c>
      <c r="AC446" s="16">
        <v>57874</v>
      </c>
      <c r="AE446" s="16">
        <f t="shared" si="13"/>
        <v>539066</v>
      </c>
      <c r="AG446" s="1"/>
    </row>
    <row r="447" spans="1:31" ht="12.75" customHeight="1">
      <c r="A447" s="1" t="s">
        <v>334</v>
      </c>
      <c r="B447" s="1"/>
      <c r="C447" s="1" t="s">
        <v>112</v>
      </c>
      <c r="E447" s="16">
        <v>2270870</v>
      </c>
      <c r="G447" s="16">
        <v>1125</v>
      </c>
      <c r="I447" s="16">
        <v>130487</v>
      </c>
      <c r="K447" s="16">
        <v>271216</v>
      </c>
      <c r="M447" s="16">
        <v>207258</v>
      </c>
      <c r="O447" s="16">
        <v>822402</v>
      </c>
      <c r="Q447" s="16">
        <v>854760</v>
      </c>
      <c r="S447" s="16">
        <v>0</v>
      </c>
      <c r="U447" s="16">
        <v>2894912</v>
      </c>
      <c r="W447" s="16">
        <v>0</v>
      </c>
      <c r="Y447" s="16">
        <v>1003911</v>
      </c>
      <c r="AA447" s="16">
        <v>0</v>
      </c>
      <c r="AC447" s="16">
        <v>1060447</v>
      </c>
      <c r="AE447" s="16">
        <f t="shared" si="13"/>
        <v>9517388</v>
      </c>
    </row>
    <row r="448" spans="2:31" ht="12.75" customHeight="1">
      <c r="B448" s="1"/>
      <c r="O448" s="16"/>
      <c r="AE448" s="34" t="s">
        <v>785</v>
      </c>
    </row>
    <row r="449" spans="1:31" s="36" customFormat="1" ht="12.75" customHeight="1">
      <c r="A449" s="36" t="s">
        <v>334</v>
      </c>
      <c r="C449" s="36" t="s">
        <v>82</v>
      </c>
      <c r="E449" s="36">
        <v>135394</v>
      </c>
      <c r="G449" s="36">
        <v>0</v>
      </c>
      <c r="I449" s="36">
        <v>61445</v>
      </c>
      <c r="K449" s="36">
        <v>0</v>
      </c>
      <c r="M449" s="36">
        <v>0</v>
      </c>
      <c r="O449" s="36">
        <v>26005</v>
      </c>
      <c r="Q449" s="36">
        <v>106193</v>
      </c>
      <c r="S449" s="36">
        <v>1565499</v>
      </c>
      <c r="U449" s="36">
        <v>8492</v>
      </c>
      <c r="W449" s="36">
        <v>3130</v>
      </c>
      <c r="Y449" s="36">
        <v>85500</v>
      </c>
      <c r="AA449" s="36">
        <v>0</v>
      </c>
      <c r="AC449" s="36">
        <v>111237</v>
      </c>
      <c r="AE449" s="36">
        <f aca="true" t="shared" si="14" ref="AE449:AE480">SUM(E449:AC449)</f>
        <v>2102895</v>
      </c>
    </row>
    <row r="450" spans="1:31" ht="12.75" customHeight="1">
      <c r="A450" s="1" t="s">
        <v>546</v>
      </c>
      <c r="C450" s="1" t="s">
        <v>149</v>
      </c>
      <c r="E450" s="16">
        <v>1107721</v>
      </c>
      <c r="G450" s="16">
        <v>20760</v>
      </c>
      <c r="I450" s="16">
        <v>282997</v>
      </c>
      <c r="K450" s="16">
        <v>528996</v>
      </c>
      <c r="M450" s="16">
        <v>0</v>
      </c>
      <c r="O450" s="16">
        <v>254815</v>
      </c>
      <c r="Q450" s="16">
        <v>1226781</v>
      </c>
      <c r="S450" s="16">
        <v>4479099</v>
      </c>
      <c r="U450" s="16">
        <v>4107521</v>
      </c>
      <c r="W450" s="16">
        <v>338591</v>
      </c>
      <c r="Y450" s="16">
        <v>0</v>
      </c>
      <c r="AA450" s="16">
        <v>0</v>
      </c>
      <c r="AC450" s="16">
        <v>0</v>
      </c>
      <c r="AE450" s="16">
        <f t="shared" si="14"/>
        <v>12347281</v>
      </c>
    </row>
    <row r="451" spans="1:31" ht="12.75" customHeight="1">
      <c r="A451" s="1" t="s">
        <v>540</v>
      </c>
      <c r="C451" s="1" t="s">
        <v>200</v>
      </c>
      <c r="E451" s="16">
        <v>3837</v>
      </c>
      <c r="G451" s="16">
        <v>395</v>
      </c>
      <c r="I451" s="16">
        <v>2580</v>
      </c>
      <c r="K451" s="16">
        <v>587</v>
      </c>
      <c r="M451" s="16">
        <v>1866</v>
      </c>
      <c r="O451" s="16">
        <v>4192</v>
      </c>
      <c r="Q451" s="16">
        <v>71601</v>
      </c>
      <c r="S451" s="16">
        <v>15904</v>
      </c>
      <c r="U451" s="16">
        <v>2343</v>
      </c>
      <c r="W451" s="16">
        <v>164</v>
      </c>
      <c r="Y451" s="16">
        <v>233</v>
      </c>
      <c r="AA451" s="16">
        <v>0</v>
      </c>
      <c r="AC451" s="16">
        <v>0</v>
      </c>
      <c r="AE451" s="16">
        <f t="shared" si="14"/>
        <v>103702</v>
      </c>
    </row>
    <row r="452" spans="1:31" ht="12.75" customHeight="1">
      <c r="A452" s="1" t="s">
        <v>335</v>
      </c>
      <c r="B452" s="1"/>
      <c r="C452" s="1" t="s">
        <v>192</v>
      </c>
      <c r="E452" s="16">
        <v>45569</v>
      </c>
      <c r="G452" s="16">
        <v>4886</v>
      </c>
      <c r="I452" s="16">
        <v>3338</v>
      </c>
      <c r="K452" s="16">
        <v>343</v>
      </c>
      <c r="M452" s="16">
        <v>14289</v>
      </c>
      <c r="O452" s="16">
        <v>51447</v>
      </c>
      <c r="Q452" s="16">
        <v>66670</v>
      </c>
      <c r="S452" s="16">
        <v>94652</v>
      </c>
      <c r="U452" s="16">
        <v>0</v>
      </c>
      <c r="W452" s="16">
        <v>0</v>
      </c>
      <c r="Y452" s="16">
        <v>25293</v>
      </c>
      <c r="AA452" s="16">
        <v>0</v>
      </c>
      <c r="AC452" s="16">
        <v>0</v>
      </c>
      <c r="AE452" s="16">
        <f t="shared" si="14"/>
        <v>306487</v>
      </c>
    </row>
    <row r="453" spans="1:31" ht="12.75" customHeight="1">
      <c r="A453" s="1" t="s">
        <v>336</v>
      </c>
      <c r="B453" s="1"/>
      <c r="C453" s="1" t="s">
        <v>112</v>
      </c>
      <c r="E453" s="16">
        <v>1832404</v>
      </c>
      <c r="G453" s="16">
        <v>0</v>
      </c>
      <c r="I453" s="16">
        <v>0</v>
      </c>
      <c r="K453" s="16">
        <v>226318</v>
      </c>
      <c r="M453" s="16">
        <v>113540</v>
      </c>
      <c r="O453" s="16">
        <v>617453</v>
      </c>
      <c r="Q453" s="16">
        <v>747784</v>
      </c>
      <c r="S453" s="16">
        <v>1791412</v>
      </c>
      <c r="U453" s="16">
        <v>2840019</v>
      </c>
      <c r="W453" s="16">
        <v>0</v>
      </c>
      <c r="Y453" s="16">
        <v>3050019</v>
      </c>
      <c r="AA453" s="16">
        <v>144847</v>
      </c>
      <c r="AC453" s="16">
        <v>0</v>
      </c>
      <c r="AE453" s="16">
        <f t="shared" si="14"/>
        <v>11363796</v>
      </c>
    </row>
    <row r="454" spans="1:31" ht="12.75" customHeight="1">
      <c r="A454" s="1" t="s">
        <v>735</v>
      </c>
      <c r="C454" s="1" t="s">
        <v>276</v>
      </c>
      <c r="E454" s="16">
        <v>11333</v>
      </c>
      <c r="G454" s="16">
        <v>293</v>
      </c>
      <c r="I454" s="16">
        <v>0</v>
      </c>
      <c r="K454" s="16">
        <v>0</v>
      </c>
      <c r="M454" s="16">
        <v>0</v>
      </c>
      <c r="O454" s="16">
        <v>8295</v>
      </c>
      <c r="Q454" s="16">
        <v>19104</v>
      </c>
      <c r="S454" s="16">
        <v>0</v>
      </c>
      <c r="U454" s="16">
        <v>0</v>
      </c>
      <c r="W454" s="16">
        <v>0</v>
      </c>
      <c r="Y454" s="16">
        <v>0</v>
      </c>
      <c r="AA454" s="16">
        <v>0</v>
      </c>
      <c r="AC454" s="16">
        <v>0</v>
      </c>
      <c r="AE454" s="16">
        <f t="shared" si="14"/>
        <v>39025</v>
      </c>
    </row>
    <row r="455" spans="1:31" ht="12.75" customHeight="1">
      <c r="A455" s="1" t="s">
        <v>687</v>
      </c>
      <c r="C455" s="1" t="s">
        <v>184</v>
      </c>
      <c r="E455" s="16">
        <v>5823</v>
      </c>
      <c r="G455" s="16">
        <v>0</v>
      </c>
      <c r="I455" s="16">
        <v>0</v>
      </c>
      <c r="K455" s="16">
        <v>0</v>
      </c>
      <c r="M455" s="16">
        <v>277</v>
      </c>
      <c r="O455" s="16">
        <v>86021</v>
      </c>
      <c r="Q455" s="16">
        <v>23819</v>
      </c>
      <c r="S455" s="16">
        <v>0</v>
      </c>
      <c r="U455" s="16">
        <v>0</v>
      </c>
      <c r="W455" s="16">
        <v>0</v>
      </c>
      <c r="Y455" s="16">
        <v>0</v>
      </c>
      <c r="AA455" s="16">
        <v>0</v>
      </c>
      <c r="AC455" s="16">
        <v>0</v>
      </c>
      <c r="AE455" s="16">
        <f t="shared" si="14"/>
        <v>115940</v>
      </c>
    </row>
    <row r="456" spans="1:31" ht="12.75" customHeight="1">
      <c r="A456" s="1" t="s">
        <v>440</v>
      </c>
      <c r="B456" s="1"/>
      <c r="C456" s="30" t="s">
        <v>76</v>
      </c>
      <c r="E456" s="16">
        <v>431523</v>
      </c>
      <c r="G456" s="16">
        <v>12437</v>
      </c>
      <c r="I456" s="16">
        <v>6896</v>
      </c>
      <c r="K456" s="16">
        <v>1641</v>
      </c>
      <c r="M456" s="16">
        <v>156</v>
      </c>
      <c r="O456" s="16">
        <v>113386</v>
      </c>
      <c r="Q456" s="16">
        <v>645130</v>
      </c>
      <c r="S456" s="16">
        <v>1849722</v>
      </c>
      <c r="U456" s="16">
        <v>1760000</v>
      </c>
      <c r="W456" s="16">
        <v>40183</v>
      </c>
      <c r="Y456" s="16">
        <v>18000</v>
      </c>
      <c r="AA456" s="16">
        <v>0</v>
      </c>
      <c r="AC456" s="16">
        <v>0</v>
      </c>
      <c r="AE456" s="16">
        <f t="shared" si="14"/>
        <v>4879074</v>
      </c>
    </row>
    <row r="457" spans="1:31" ht="12.75" customHeight="1">
      <c r="A457" s="1" t="s">
        <v>337</v>
      </c>
      <c r="B457" s="1"/>
      <c r="C457" s="1" t="s">
        <v>78</v>
      </c>
      <c r="E457" s="16">
        <v>5794</v>
      </c>
      <c r="G457" s="16">
        <v>1620</v>
      </c>
      <c r="I457" s="16">
        <v>2364</v>
      </c>
      <c r="K457" s="16">
        <v>0</v>
      </c>
      <c r="M457" s="16">
        <v>1888</v>
      </c>
      <c r="O457" s="16">
        <v>0</v>
      </c>
      <c r="Q457" s="16">
        <v>3686</v>
      </c>
      <c r="S457" s="16">
        <v>14953</v>
      </c>
      <c r="U457" s="16">
        <v>0</v>
      </c>
      <c r="W457" s="16">
        <v>0</v>
      </c>
      <c r="Y457" s="16">
        <v>0</v>
      </c>
      <c r="AA457" s="16">
        <v>0</v>
      </c>
      <c r="AC457" s="16">
        <v>0</v>
      </c>
      <c r="AE457" s="16">
        <f t="shared" si="14"/>
        <v>30305</v>
      </c>
    </row>
    <row r="458" spans="1:31" ht="12.75" customHeight="1">
      <c r="A458" s="1" t="s">
        <v>338</v>
      </c>
      <c r="B458" s="1"/>
      <c r="C458" s="1" t="s">
        <v>90</v>
      </c>
      <c r="E458" s="16">
        <v>5432</v>
      </c>
      <c r="G458" s="16">
        <v>503</v>
      </c>
      <c r="I458" s="16">
        <v>0</v>
      </c>
      <c r="K458" s="16">
        <v>37304</v>
      </c>
      <c r="M458" s="16">
        <v>0</v>
      </c>
      <c r="O458" s="16">
        <v>19254</v>
      </c>
      <c r="Q458" s="16">
        <v>20982</v>
      </c>
      <c r="S458" s="16">
        <v>0</v>
      </c>
      <c r="U458" s="16">
        <v>0</v>
      </c>
      <c r="W458" s="16">
        <v>0</v>
      </c>
      <c r="Y458" s="16">
        <v>0</v>
      </c>
      <c r="AA458" s="16">
        <v>0</v>
      </c>
      <c r="AC458" s="16">
        <v>0</v>
      </c>
      <c r="AE458" s="16">
        <f t="shared" si="14"/>
        <v>83475</v>
      </c>
    </row>
    <row r="459" spans="1:31" ht="12.75" customHeight="1">
      <c r="A459" s="1" t="s">
        <v>215</v>
      </c>
      <c r="C459" s="1" t="s">
        <v>110</v>
      </c>
      <c r="E459" s="16">
        <v>494323</v>
      </c>
      <c r="G459" s="16">
        <v>0</v>
      </c>
      <c r="I459" s="16">
        <v>117040</v>
      </c>
      <c r="K459" s="16">
        <v>15128</v>
      </c>
      <c r="M459" s="16">
        <v>14088</v>
      </c>
      <c r="O459" s="16">
        <v>174747</v>
      </c>
      <c r="Q459" s="16">
        <v>488142</v>
      </c>
      <c r="S459" s="16">
        <v>1501659</v>
      </c>
      <c r="U459" s="16">
        <v>366526</v>
      </c>
      <c r="W459" s="16">
        <v>163903</v>
      </c>
      <c r="Y459" s="16">
        <v>766473</v>
      </c>
      <c r="AA459" s="16">
        <v>200000</v>
      </c>
      <c r="AC459" s="16">
        <v>0</v>
      </c>
      <c r="AE459" s="16">
        <f t="shared" si="14"/>
        <v>4302029</v>
      </c>
    </row>
    <row r="460" spans="1:31" ht="12.75" customHeight="1">
      <c r="A460" s="1" t="s">
        <v>339</v>
      </c>
      <c r="B460" s="1"/>
      <c r="C460" s="1" t="s">
        <v>250</v>
      </c>
      <c r="E460" s="16">
        <v>2151707</v>
      </c>
      <c r="G460" s="16">
        <v>30666</v>
      </c>
      <c r="I460" s="16">
        <v>255351</v>
      </c>
      <c r="K460" s="16">
        <v>0</v>
      </c>
      <c r="M460" s="16">
        <v>483539</v>
      </c>
      <c r="O460" s="16">
        <v>624181</v>
      </c>
      <c r="Q460" s="16">
        <v>519839</v>
      </c>
      <c r="S460" s="16">
        <v>1343788</v>
      </c>
      <c r="U460" s="16">
        <v>4841890</v>
      </c>
      <c r="W460" s="16">
        <v>0</v>
      </c>
      <c r="Y460" s="16">
        <v>0</v>
      </c>
      <c r="AA460" s="16">
        <v>0</v>
      </c>
      <c r="AC460" s="16">
        <v>8578</v>
      </c>
      <c r="AE460" s="16">
        <f t="shared" si="14"/>
        <v>10259539</v>
      </c>
    </row>
    <row r="461" spans="1:31" ht="12.75" customHeight="1">
      <c r="A461" s="1" t="s">
        <v>708</v>
      </c>
      <c r="C461" s="1" t="s">
        <v>110</v>
      </c>
      <c r="E461" s="16">
        <v>108829</v>
      </c>
      <c r="G461" s="16">
        <v>480</v>
      </c>
      <c r="I461" s="16">
        <v>0</v>
      </c>
      <c r="K461" s="16">
        <v>0</v>
      </c>
      <c r="M461" s="16">
        <v>27425</v>
      </c>
      <c r="O461" s="16">
        <v>223285</v>
      </c>
      <c r="Q461" s="16">
        <v>117458</v>
      </c>
      <c r="S461" s="16">
        <v>231085</v>
      </c>
      <c r="U461" s="16">
        <v>0</v>
      </c>
      <c r="W461" s="16">
        <v>0</v>
      </c>
      <c r="Y461" s="16">
        <v>340000</v>
      </c>
      <c r="AA461" s="16">
        <v>0</v>
      </c>
      <c r="AC461" s="16">
        <v>0</v>
      </c>
      <c r="AE461" s="16">
        <f t="shared" si="14"/>
        <v>1048562</v>
      </c>
    </row>
    <row r="462" spans="1:31" ht="12.75" customHeight="1">
      <c r="A462" s="1" t="s">
        <v>720</v>
      </c>
      <c r="C462" s="1" t="s">
        <v>318</v>
      </c>
      <c r="E462" s="16">
        <v>9676</v>
      </c>
      <c r="G462" s="16">
        <v>0</v>
      </c>
      <c r="I462" s="16">
        <v>0</v>
      </c>
      <c r="K462" s="16">
        <v>1547</v>
      </c>
      <c r="M462" s="16">
        <v>8061</v>
      </c>
      <c r="O462" s="16">
        <v>11600</v>
      </c>
      <c r="Q462" s="16">
        <v>13179</v>
      </c>
      <c r="S462" s="16">
        <v>5000</v>
      </c>
      <c r="U462" s="16">
        <v>5618</v>
      </c>
      <c r="W462" s="16">
        <v>1090</v>
      </c>
      <c r="Y462" s="16">
        <v>0</v>
      </c>
      <c r="AA462" s="16">
        <v>0</v>
      </c>
      <c r="AC462" s="16">
        <v>376</v>
      </c>
      <c r="AE462" s="16">
        <f t="shared" si="14"/>
        <v>56147</v>
      </c>
    </row>
    <row r="463" spans="1:31" ht="12.75" customHeight="1">
      <c r="A463" s="1" t="s">
        <v>497</v>
      </c>
      <c r="C463" s="1" t="s">
        <v>102</v>
      </c>
      <c r="E463" s="16">
        <v>695412</v>
      </c>
      <c r="G463" s="16">
        <v>2658</v>
      </c>
      <c r="I463" s="16">
        <v>6322</v>
      </c>
      <c r="K463" s="16">
        <v>0</v>
      </c>
      <c r="M463" s="16">
        <v>0</v>
      </c>
      <c r="O463" s="16">
        <v>54584</v>
      </c>
      <c r="Q463" s="16">
        <v>151766</v>
      </c>
      <c r="S463" s="16">
        <v>0</v>
      </c>
      <c r="U463" s="16">
        <v>0</v>
      </c>
      <c r="W463" s="16">
        <v>0</v>
      </c>
      <c r="Y463" s="16">
        <v>0</v>
      </c>
      <c r="AA463" s="16">
        <v>0</v>
      </c>
      <c r="AC463" s="16">
        <v>1830</v>
      </c>
      <c r="AE463" s="16">
        <f t="shared" si="14"/>
        <v>912572</v>
      </c>
    </row>
    <row r="464" spans="1:31" ht="12.75" customHeight="1">
      <c r="A464" s="1" t="s">
        <v>340</v>
      </c>
      <c r="B464" s="1"/>
      <c r="C464" s="1" t="s">
        <v>78</v>
      </c>
      <c r="E464" s="16">
        <v>8013</v>
      </c>
      <c r="G464" s="16">
        <v>0</v>
      </c>
      <c r="I464" s="16">
        <v>4830</v>
      </c>
      <c r="K464" s="16">
        <v>0</v>
      </c>
      <c r="M464" s="16">
        <v>0</v>
      </c>
      <c r="O464" s="16">
        <v>15744</v>
      </c>
      <c r="Q464" s="16">
        <v>16058</v>
      </c>
      <c r="S464" s="16">
        <v>0</v>
      </c>
      <c r="U464" s="16">
        <v>0</v>
      </c>
      <c r="W464" s="16">
        <v>0</v>
      </c>
      <c r="Y464" s="16">
        <v>0</v>
      </c>
      <c r="AA464" s="16">
        <v>0</v>
      </c>
      <c r="AC464" s="16">
        <v>0</v>
      </c>
      <c r="AE464" s="16">
        <f t="shared" si="14"/>
        <v>44645</v>
      </c>
    </row>
    <row r="465" spans="1:31" ht="12.75" customHeight="1">
      <c r="A465" s="1" t="s">
        <v>341</v>
      </c>
      <c r="B465" s="1"/>
      <c r="C465" s="1" t="s">
        <v>110</v>
      </c>
      <c r="E465" s="16">
        <v>157787</v>
      </c>
      <c r="G465" s="16">
        <v>1769</v>
      </c>
      <c r="I465" s="16">
        <v>12992</v>
      </c>
      <c r="K465" s="16">
        <v>0</v>
      </c>
      <c r="M465" s="16">
        <v>36488</v>
      </c>
      <c r="O465" s="16">
        <v>10512</v>
      </c>
      <c r="Q465" s="16">
        <v>85264</v>
      </c>
      <c r="S465" s="16">
        <v>132775</v>
      </c>
      <c r="U465" s="16">
        <v>0</v>
      </c>
      <c r="W465" s="16">
        <v>15597</v>
      </c>
      <c r="Y465" s="16">
        <v>20000</v>
      </c>
      <c r="AA465" s="16">
        <v>0</v>
      </c>
      <c r="AC465" s="16">
        <v>1664</v>
      </c>
      <c r="AE465" s="16">
        <f t="shared" si="14"/>
        <v>474848</v>
      </c>
    </row>
    <row r="466" spans="1:31" ht="12.75" customHeight="1">
      <c r="A466" s="1" t="s">
        <v>342</v>
      </c>
      <c r="B466" s="1"/>
      <c r="C466" s="1" t="s">
        <v>96</v>
      </c>
      <c r="E466" s="16">
        <v>2124</v>
      </c>
      <c r="G466" s="16">
        <v>185</v>
      </c>
      <c r="I466" s="16">
        <v>0</v>
      </c>
      <c r="K466" s="16">
        <v>25</v>
      </c>
      <c r="M466" s="16">
        <v>0</v>
      </c>
      <c r="O466" s="16">
        <v>3247</v>
      </c>
      <c r="Q466" s="16">
        <v>9979</v>
      </c>
      <c r="S466" s="16">
        <v>0</v>
      </c>
      <c r="U466" s="16">
        <v>0</v>
      </c>
      <c r="W466" s="16">
        <v>0</v>
      </c>
      <c r="Y466" s="16">
        <v>0</v>
      </c>
      <c r="AA466" s="16">
        <v>0</v>
      </c>
      <c r="AC466" s="16">
        <v>0</v>
      </c>
      <c r="AE466" s="16">
        <f t="shared" si="14"/>
        <v>15560</v>
      </c>
    </row>
    <row r="467" spans="1:31" ht="12.75" customHeight="1">
      <c r="A467" s="1" t="s">
        <v>343</v>
      </c>
      <c r="B467" s="1"/>
      <c r="C467" s="1" t="s">
        <v>65</v>
      </c>
      <c r="E467" s="16">
        <v>700</v>
      </c>
      <c r="G467" s="16">
        <v>300</v>
      </c>
      <c r="I467" s="16">
        <v>0</v>
      </c>
      <c r="K467" s="16">
        <v>275</v>
      </c>
      <c r="M467" s="16">
        <v>1915</v>
      </c>
      <c r="O467" s="16">
        <v>920</v>
      </c>
      <c r="Q467" s="16">
        <v>7340</v>
      </c>
      <c r="S467" s="16">
        <v>0</v>
      </c>
      <c r="U467" s="16">
        <v>0</v>
      </c>
      <c r="W467" s="16">
        <v>0</v>
      </c>
      <c r="Y467" s="16">
        <v>4000</v>
      </c>
      <c r="AA467" s="16">
        <v>0</v>
      </c>
      <c r="AC467" s="16">
        <v>0</v>
      </c>
      <c r="AE467" s="16">
        <f t="shared" si="14"/>
        <v>15450</v>
      </c>
    </row>
    <row r="468" spans="1:31" ht="12.75" customHeight="1">
      <c r="A468" s="1" t="s">
        <v>82</v>
      </c>
      <c r="B468" s="1"/>
      <c r="C468" s="1" t="s">
        <v>82</v>
      </c>
      <c r="E468" s="16">
        <v>456491</v>
      </c>
      <c r="G468" s="16">
        <v>10996</v>
      </c>
      <c r="I468" s="16">
        <v>105256</v>
      </c>
      <c r="K468" s="16">
        <v>7429</v>
      </c>
      <c r="M468" s="16">
        <v>3746</v>
      </c>
      <c r="O468" s="16">
        <v>94398</v>
      </c>
      <c r="Q468" s="16">
        <v>190872</v>
      </c>
      <c r="S468" s="16">
        <v>92132</v>
      </c>
      <c r="U468" s="16">
        <v>134505</v>
      </c>
      <c r="W468" s="16">
        <v>18807</v>
      </c>
      <c r="Y468" s="16">
        <v>403170</v>
      </c>
      <c r="AA468" s="16">
        <v>0</v>
      </c>
      <c r="AC468" s="16">
        <v>0</v>
      </c>
      <c r="AE468" s="16">
        <f t="shared" si="14"/>
        <v>1517802</v>
      </c>
    </row>
    <row r="469" spans="1:31" ht="12.75" customHeight="1">
      <c r="A469" s="1" t="s">
        <v>344</v>
      </c>
      <c r="B469" s="1"/>
      <c r="C469" s="1" t="s">
        <v>82</v>
      </c>
      <c r="E469" s="16">
        <v>185949</v>
      </c>
      <c r="G469" s="16">
        <v>1969</v>
      </c>
      <c r="I469" s="16">
        <v>9321</v>
      </c>
      <c r="K469" s="16">
        <v>0</v>
      </c>
      <c r="M469" s="16">
        <v>0</v>
      </c>
      <c r="O469" s="16">
        <v>72846</v>
      </c>
      <c r="Q469" s="16">
        <v>111913</v>
      </c>
      <c r="S469" s="16">
        <v>180731</v>
      </c>
      <c r="U469" s="16">
        <v>0</v>
      </c>
      <c r="W469" s="16">
        <v>0</v>
      </c>
      <c r="Y469" s="16">
        <v>108600</v>
      </c>
      <c r="AA469" s="16">
        <v>0</v>
      </c>
      <c r="AC469" s="16">
        <v>0</v>
      </c>
      <c r="AE469" s="16">
        <f t="shared" si="14"/>
        <v>671329</v>
      </c>
    </row>
    <row r="470" spans="1:31" ht="12.75" customHeight="1">
      <c r="A470" s="1" t="s">
        <v>345</v>
      </c>
      <c r="B470" s="1"/>
      <c r="C470" s="30" t="s">
        <v>346</v>
      </c>
      <c r="E470" s="16">
        <v>237747</v>
      </c>
      <c r="G470" s="16">
        <v>0</v>
      </c>
      <c r="I470" s="16">
        <v>1716</v>
      </c>
      <c r="K470" s="16">
        <v>0</v>
      </c>
      <c r="M470" s="16">
        <v>20444</v>
      </c>
      <c r="O470" s="16">
        <v>78954</v>
      </c>
      <c r="Q470" s="16">
        <v>121121</v>
      </c>
      <c r="S470" s="16">
        <v>0</v>
      </c>
      <c r="U470" s="16">
        <v>2450</v>
      </c>
      <c r="W470" s="16">
        <v>0</v>
      </c>
      <c r="Y470" s="16">
        <v>0</v>
      </c>
      <c r="AA470" s="16">
        <v>0</v>
      </c>
      <c r="AC470" s="16">
        <v>0</v>
      </c>
      <c r="AE470" s="16">
        <f t="shared" si="14"/>
        <v>462432</v>
      </c>
    </row>
    <row r="471" spans="1:31" ht="12.75" customHeight="1">
      <c r="A471" s="1" t="s">
        <v>774</v>
      </c>
      <c r="C471" s="1" t="s">
        <v>94</v>
      </c>
      <c r="E471" s="16">
        <v>204683</v>
      </c>
      <c r="G471" s="16">
        <v>1549</v>
      </c>
      <c r="I471" s="16">
        <v>16522</v>
      </c>
      <c r="K471" s="16">
        <v>0</v>
      </c>
      <c r="M471" s="16">
        <v>3228</v>
      </c>
      <c r="O471" s="16">
        <v>62845</v>
      </c>
      <c r="Q471" s="16">
        <v>181026</v>
      </c>
      <c r="S471" s="16">
        <v>106817</v>
      </c>
      <c r="U471" s="16">
        <v>68234</v>
      </c>
      <c r="W471" s="16">
        <v>41171</v>
      </c>
      <c r="Y471" s="16">
        <v>399711</v>
      </c>
      <c r="AA471" s="16">
        <v>0</v>
      </c>
      <c r="AC471" s="16">
        <v>11541</v>
      </c>
      <c r="AE471" s="16">
        <f t="shared" si="14"/>
        <v>1097327</v>
      </c>
    </row>
    <row r="472" spans="1:31" ht="12.75" customHeight="1">
      <c r="A472" s="1" t="s">
        <v>347</v>
      </c>
      <c r="B472" s="1"/>
      <c r="C472" s="1" t="s">
        <v>129</v>
      </c>
      <c r="E472" s="16">
        <v>372962</v>
      </c>
      <c r="G472" s="16">
        <v>6391</v>
      </c>
      <c r="I472" s="16">
        <v>0</v>
      </c>
      <c r="K472" s="16">
        <v>67475</v>
      </c>
      <c r="M472" s="16">
        <v>36376</v>
      </c>
      <c r="O472" s="16">
        <v>187063</v>
      </c>
      <c r="Q472" s="16">
        <v>232049</v>
      </c>
      <c r="S472" s="16">
        <v>366727</v>
      </c>
      <c r="U472" s="16">
        <v>0</v>
      </c>
      <c r="W472" s="16">
        <v>0</v>
      </c>
      <c r="Y472" s="16">
        <v>0</v>
      </c>
      <c r="AA472" s="16">
        <v>10000</v>
      </c>
      <c r="AC472" s="16">
        <v>0</v>
      </c>
      <c r="AE472" s="16">
        <f t="shared" si="14"/>
        <v>1279043</v>
      </c>
    </row>
    <row r="473" spans="1:31" ht="12.75" customHeight="1">
      <c r="A473" s="1" t="s">
        <v>348</v>
      </c>
      <c r="B473" s="1"/>
      <c r="C473" s="1" t="s">
        <v>197</v>
      </c>
      <c r="E473" s="16">
        <v>284595</v>
      </c>
      <c r="G473" s="16">
        <v>36515</v>
      </c>
      <c r="I473" s="16">
        <v>0</v>
      </c>
      <c r="K473" s="16">
        <v>0</v>
      </c>
      <c r="M473" s="16">
        <v>0</v>
      </c>
      <c r="O473" s="16">
        <v>91354</v>
      </c>
      <c r="Q473" s="16">
        <v>653083</v>
      </c>
      <c r="S473" s="16">
        <v>0</v>
      </c>
      <c r="U473" s="16">
        <v>53000</v>
      </c>
      <c r="W473" s="16">
        <v>25984</v>
      </c>
      <c r="Y473" s="16">
        <v>12000</v>
      </c>
      <c r="AA473" s="16">
        <v>0</v>
      </c>
      <c r="AC473" s="16">
        <v>0</v>
      </c>
      <c r="AE473" s="16">
        <f t="shared" si="14"/>
        <v>1156531</v>
      </c>
    </row>
    <row r="474" spans="1:31" ht="12.75" customHeight="1">
      <c r="A474" s="1" t="s">
        <v>349</v>
      </c>
      <c r="B474" s="1"/>
      <c r="C474" s="30" t="s">
        <v>92</v>
      </c>
      <c r="E474" s="16">
        <v>149544</v>
      </c>
      <c r="G474" s="16">
        <v>541</v>
      </c>
      <c r="I474" s="16">
        <v>1467</v>
      </c>
      <c r="K474" s="16">
        <v>201</v>
      </c>
      <c r="M474" s="16">
        <v>0</v>
      </c>
      <c r="O474" s="16">
        <v>42839</v>
      </c>
      <c r="Q474" s="16">
        <v>116164</v>
      </c>
      <c r="S474" s="16">
        <v>128164</v>
      </c>
      <c r="U474" s="16">
        <v>245000</v>
      </c>
      <c r="W474" s="16">
        <v>856</v>
      </c>
      <c r="Y474" s="16">
        <v>0</v>
      </c>
      <c r="AA474" s="16">
        <v>0</v>
      </c>
      <c r="AC474" s="16">
        <v>0</v>
      </c>
      <c r="AE474" s="16">
        <f t="shared" si="14"/>
        <v>684776</v>
      </c>
    </row>
    <row r="475" spans="1:31" ht="12.75" customHeight="1">
      <c r="A475" s="1" t="s">
        <v>350</v>
      </c>
      <c r="B475" s="1"/>
      <c r="C475" s="1" t="s">
        <v>217</v>
      </c>
      <c r="E475" s="16">
        <v>191526</v>
      </c>
      <c r="G475" s="16">
        <v>0</v>
      </c>
      <c r="I475" s="16">
        <v>13042</v>
      </c>
      <c r="K475" s="16">
        <v>2566</v>
      </c>
      <c r="M475" s="16">
        <v>0</v>
      </c>
      <c r="O475" s="16">
        <v>35177</v>
      </c>
      <c r="Q475" s="16">
        <v>93519</v>
      </c>
      <c r="S475" s="16">
        <v>47936</v>
      </c>
      <c r="U475" s="16">
        <v>35300</v>
      </c>
      <c r="W475" s="16">
        <v>6623</v>
      </c>
      <c r="Y475" s="16">
        <v>41421</v>
      </c>
      <c r="AA475" s="16">
        <v>0</v>
      </c>
      <c r="AC475" s="16">
        <v>60710</v>
      </c>
      <c r="AE475" s="16">
        <f t="shared" si="14"/>
        <v>527820</v>
      </c>
    </row>
    <row r="476" spans="1:31" ht="12.75" customHeight="1">
      <c r="A476" s="1" t="s">
        <v>351</v>
      </c>
      <c r="B476" s="1"/>
      <c r="C476" s="1" t="s">
        <v>67</v>
      </c>
      <c r="E476" s="16">
        <v>6104</v>
      </c>
      <c r="G476" s="16">
        <v>0</v>
      </c>
      <c r="I476" s="16">
        <v>0</v>
      </c>
      <c r="K476" s="16">
        <v>0</v>
      </c>
      <c r="M476" s="16">
        <v>0</v>
      </c>
      <c r="O476" s="16">
        <v>36856</v>
      </c>
      <c r="Q476" s="16">
        <v>25506</v>
      </c>
      <c r="S476" s="16">
        <v>0</v>
      </c>
      <c r="U476" s="16">
        <v>0</v>
      </c>
      <c r="W476" s="16">
        <v>0</v>
      </c>
      <c r="Y476" s="16">
        <v>0</v>
      </c>
      <c r="AA476" s="16">
        <v>0</v>
      </c>
      <c r="AC476" s="16">
        <v>0</v>
      </c>
      <c r="AE476" s="16">
        <f t="shared" si="14"/>
        <v>68466</v>
      </c>
    </row>
    <row r="477" spans="1:31" ht="12.75" customHeight="1">
      <c r="A477" s="1" t="s">
        <v>352</v>
      </c>
      <c r="B477" s="1"/>
      <c r="C477" s="1" t="s">
        <v>353</v>
      </c>
      <c r="E477" s="16">
        <v>17132</v>
      </c>
      <c r="G477" s="16">
        <v>162349</v>
      </c>
      <c r="I477" s="16">
        <v>0</v>
      </c>
      <c r="K477" s="16">
        <v>7478</v>
      </c>
      <c r="M477" s="16">
        <v>0</v>
      </c>
      <c r="O477" s="16">
        <v>102037</v>
      </c>
      <c r="Q477" s="16">
        <v>138826</v>
      </c>
      <c r="S477" s="16">
        <v>0</v>
      </c>
      <c r="U477" s="16">
        <v>0</v>
      </c>
      <c r="W477" s="16">
        <v>0</v>
      </c>
      <c r="Y477" s="16">
        <v>0</v>
      </c>
      <c r="AA477" s="16">
        <v>0</v>
      </c>
      <c r="AC477" s="16">
        <v>0</v>
      </c>
      <c r="AE477" s="16">
        <f t="shared" si="14"/>
        <v>427822</v>
      </c>
    </row>
    <row r="478" spans="1:31" ht="12.75" customHeight="1">
      <c r="A478" s="1" t="s">
        <v>354</v>
      </c>
      <c r="B478" s="1"/>
      <c r="C478" s="1" t="s">
        <v>190</v>
      </c>
      <c r="E478" s="16">
        <v>237978</v>
      </c>
      <c r="G478" s="16">
        <v>31215</v>
      </c>
      <c r="I478" s="16">
        <v>45079</v>
      </c>
      <c r="K478" s="16">
        <v>4186</v>
      </c>
      <c r="M478" s="16">
        <v>0</v>
      </c>
      <c r="O478" s="16">
        <v>49131</v>
      </c>
      <c r="Q478" s="16">
        <v>156119</v>
      </c>
      <c r="S478" s="16">
        <v>118481</v>
      </c>
      <c r="U478" s="16">
        <v>386599</v>
      </c>
      <c r="W478" s="16">
        <v>0</v>
      </c>
      <c r="Y478" s="16">
        <v>125358</v>
      </c>
      <c r="AA478" s="16">
        <v>0</v>
      </c>
      <c r="AC478" s="16">
        <v>0</v>
      </c>
      <c r="AE478" s="16">
        <f t="shared" si="14"/>
        <v>1154146</v>
      </c>
    </row>
    <row r="479" spans="1:31" ht="12.75" customHeight="1">
      <c r="A479" s="1" t="s">
        <v>523</v>
      </c>
      <c r="C479" s="1" t="s">
        <v>78</v>
      </c>
      <c r="E479" s="16">
        <v>46242</v>
      </c>
      <c r="G479" s="16">
        <v>1462</v>
      </c>
      <c r="I479" s="16">
        <v>5383</v>
      </c>
      <c r="K479" s="16">
        <v>0</v>
      </c>
      <c r="M479" s="16">
        <v>0</v>
      </c>
      <c r="O479" s="16">
        <v>17284</v>
      </c>
      <c r="Q479" s="16">
        <v>51400</v>
      </c>
      <c r="S479" s="16">
        <v>0</v>
      </c>
      <c r="U479" s="16">
        <v>9983</v>
      </c>
      <c r="W479" s="16">
        <v>703</v>
      </c>
      <c r="Y479" s="16">
        <v>6200</v>
      </c>
      <c r="AA479" s="16">
        <v>0</v>
      </c>
      <c r="AC479" s="16">
        <v>0</v>
      </c>
      <c r="AE479" s="16">
        <f t="shared" si="14"/>
        <v>138657</v>
      </c>
    </row>
    <row r="480" spans="1:31" ht="12.75" customHeight="1">
      <c r="A480" s="1" t="s">
        <v>355</v>
      </c>
      <c r="B480" s="1"/>
      <c r="C480" s="1" t="s">
        <v>293</v>
      </c>
      <c r="E480" s="16">
        <v>696048</v>
      </c>
      <c r="G480" s="16">
        <v>0</v>
      </c>
      <c r="I480" s="16">
        <v>33314</v>
      </c>
      <c r="K480" s="16">
        <v>34503</v>
      </c>
      <c r="M480" s="16">
        <v>155030</v>
      </c>
      <c r="O480" s="16">
        <v>135933</v>
      </c>
      <c r="Q480" s="16">
        <v>562822</v>
      </c>
      <c r="S480" s="16">
        <v>366087</v>
      </c>
      <c r="U480" s="16">
        <v>71846</v>
      </c>
      <c r="W480" s="16">
        <v>5409</v>
      </c>
      <c r="Y480" s="16">
        <v>0</v>
      </c>
      <c r="AA480" s="16">
        <v>0</v>
      </c>
      <c r="AC480" s="16">
        <v>0</v>
      </c>
      <c r="AE480" s="16">
        <f t="shared" si="14"/>
        <v>2060992</v>
      </c>
    </row>
    <row r="481" spans="1:31" ht="12.75" customHeight="1">
      <c r="A481" s="1" t="s">
        <v>356</v>
      </c>
      <c r="B481" s="1"/>
      <c r="C481" s="1" t="s">
        <v>170</v>
      </c>
      <c r="E481" s="16">
        <v>1898</v>
      </c>
      <c r="G481" s="16">
        <v>0</v>
      </c>
      <c r="I481" s="16">
        <v>6016</v>
      </c>
      <c r="K481" s="16">
        <v>0</v>
      </c>
      <c r="M481" s="16">
        <v>0</v>
      </c>
      <c r="O481" s="16">
        <v>0</v>
      </c>
      <c r="Q481" s="16">
        <v>5864</v>
      </c>
      <c r="S481" s="16">
        <v>0</v>
      </c>
      <c r="U481" s="16">
        <v>0</v>
      </c>
      <c r="W481" s="16">
        <v>0</v>
      </c>
      <c r="Y481" s="16">
        <v>0</v>
      </c>
      <c r="AA481" s="16">
        <v>0</v>
      </c>
      <c r="AC481" s="16">
        <v>0</v>
      </c>
      <c r="AE481" s="16">
        <f aca="true" t="shared" si="15" ref="AE481:AE510">SUM(E481:AC481)</f>
        <v>13778</v>
      </c>
    </row>
    <row r="482" spans="1:31" ht="12.75" customHeight="1">
      <c r="A482" s="1" t="s">
        <v>441</v>
      </c>
      <c r="C482" s="1" t="s">
        <v>199</v>
      </c>
      <c r="E482" s="16">
        <v>33200</v>
      </c>
      <c r="G482" s="16">
        <v>14390</v>
      </c>
      <c r="I482" s="16">
        <v>0</v>
      </c>
      <c r="K482" s="16">
        <v>0</v>
      </c>
      <c r="M482" s="16">
        <v>3079</v>
      </c>
      <c r="O482" s="16">
        <v>17161</v>
      </c>
      <c r="Q482" s="16">
        <v>25654</v>
      </c>
      <c r="S482" s="16">
        <v>75176</v>
      </c>
      <c r="U482" s="16">
        <v>7000</v>
      </c>
      <c r="W482" s="16">
        <v>371</v>
      </c>
      <c r="Y482" s="16">
        <v>0</v>
      </c>
      <c r="AA482" s="16">
        <v>7500</v>
      </c>
      <c r="AC482" s="16">
        <v>0</v>
      </c>
      <c r="AE482" s="16">
        <f t="shared" si="15"/>
        <v>183531</v>
      </c>
    </row>
    <row r="483" spans="1:31" ht="12.75" customHeight="1">
      <c r="A483" s="1" t="s">
        <v>656</v>
      </c>
      <c r="C483" s="1" t="s">
        <v>155</v>
      </c>
      <c r="E483" s="16">
        <v>103288</v>
      </c>
      <c r="G483" s="16">
        <v>21802</v>
      </c>
      <c r="I483" s="16">
        <v>4035</v>
      </c>
      <c r="K483" s="16">
        <v>0</v>
      </c>
      <c r="M483" s="16">
        <v>0</v>
      </c>
      <c r="O483" s="16">
        <v>32027</v>
      </c>
      <c r="Q483" s="16">
        <v>102214</v>
      </c>
      <c r="S483" s="16">
        <v>14759</v>
      </c>
      <c r="U483" s="16">
        <v>0</v>
      </c>
      <c r="W483" s="16">
        <v>0</v>
      </c>
      <c r="Y483" s="16">
        <v>0</v>
      </c>
      <c r="AA483" s="16">
        <v>1200</v>
      </c>
      <c r="AC483" s="16">
        <v>0</v>
      </c>
      <c r="AE483" s="16">
        <f t="shared" si="15"/>
        <v>279325</v>
      </c>
    </row>
    <row r="484" spans="1:31" ht="12.75" customHeight="1">
      <c r="A484" s="1" t="s">
        <v>755</v>
      </c>
      <c r="C484" s="1" t="s">
        <v>172</v>
      </c>
      <c r="E484" s="16">
        <v>1447</v>
      </c>
      <c r="G484" s="16">
        <v>51</v>
      </c>
      <c r="I484" s="16">
        <v>926</v>
      </c>
      <c r="K484" s="16">
        <v>0</v>
      </c>
      <c r="M484" s="16">
        <v>1087</v>
      </c>
      <c r="O484" s="16">
        <v>985</v>
      </c>
      <c r="Q484" s="16">
        <v>9903</v>
      </c>
      <c r="S484" s="16">
        <v>0</v>
      </c>
      <c r="U484" s="16">
        <v>0</v>
      </c>
      <c r="W484" s="16">
        <v>0</v>
      </c>
      <c r="Y484" s="16">
        <v>0</v>
      </c>
      <c r="AA484" s="16">
        <v>0</v>
      </c>
      <c r="AC484" s="16">
        <v>0</v>
      </c>
      <c r="AE484" s="16">
        <f t="shared" si="15"/>
        <v>14399</v>
      </c>
    </row>
    <row r="485" spans="1:31" ht="12.75" customHeight="1">
      <c r="A485" s="1" t="s">
        <v>533</v>
      </c>
      <c r="C485" s="1" t="s">
        <v>98</v>
      </c>
      <c r="E485" s="16">
        <v>25843</v>
      </c>
      <c r="G485" s="16">
        <v>2101</v>
      </c>
      <c r="I485" s="16">
        <v>14188</v>
      </c>
      <c r="K485" s="16">
        <v>1699</v>
      </c>
      <c r="M485" s="16">
        <v>0</v>
      </c>
      <c r="O485" s="16">
        <v>6502</v>
      </c>
      <c r="Q485" s="16">
        <v>39745</v>
      </c>
      <c r="S485" s="16">
        <v>5750</v>
      </c>
      <c r="U485" s="16">
        <v>0</v>
      </c>
      <c r="W485" s="16">
        <v>2647</v>
      </c>
      <c r="Y485" s="16">
        <v>11507</v>
      </c>
      <c r="AA485" s="16">
        <v>0</v>
      </c>
      <c r="AC485" s="16">
        <v>0</v>
      </c>
      <c r="AE485" s="16">
        <f t="shared" si="15"/>
        <v>109982</v>
      </c>
    </row>
    <row r="486" spans="1:31" ht="12.75" customHeight="1">
      <c r="A486" s="1" t="s">
        <v>710</v>
      </c>
      <c r="C486" s="1" t="s">
        <v>147</v>
      </c>
      <c r="E486" s="16">
        <v>332342</v>
      </c>
      <c r="G486" s="16">
        <v>46203</v>
      </c>
      <c r="I486" s="16">
        <v>20160</v>
      </c>
      <c r="K486" s="16">
        <v>0</v>
      </c>
      <c r="M486" s="16">
        <v>0</v>
      </c>
      <c r="O486" s="16">
        <v>73132</v>
      </c>
      <c r="Q486" s="16">
        <v>133937</v>
      </c>
      <c r="S486" s="16">
        <v>51403</v>
      </c>
      <c r="U486" s="16">
        <v>15705</v>
      </c>
      <c r="W486" s="16">
        <v>4805</v>
      </c>
      <c r="Y486" s="16">
        <v>59978</v>
      </c>
      <c r="AA486" s="16">
        <v>0</v>
      </c>
      <c r="AC486" s="16">
        <v>0</v>
      </c>
      <c r="AE486" s="16">
        <f t="shared" si="15"/>
        <v>737665</v>
      </c>
    </row>
    <row r="487" spans="1:31" ht="12.75" customHeight="1">
      <c r="A487" s="1" t="s">
        <v>634</v>
      </c>
      <c r="C487" s="1" t="s">
        <v>378</v>
      </c>
      <c r="E487" s="16">
        <v>502921</v>
      </c>
      <c r="G487" s="16">
        <v>15372</v>
      </c>
      <c r="I487" s="16">
        <v>2000</v>
      </c>
      <c r="K487" s="16">
        <v>8330</v>
      </c>
      <c r="M487" s="16">
        <v>0</v>
      </c>
      <c r="O487" s="16">
        <v>161290</v>
      </c>
      <c r="Q487" s="16">
        <v>236473</v>
      </c>
      <c r="S487" s="16">
        <v>53237</v>
      </c>
      <c r="U487" s="16">
        <v>0</v>
      </c>
      <c r="W487" s="16">
        <v>0</v>
      </c>
      <c r="Y487" s="16">
        <v>0</v>
      </c>
      <c r="AA487" s="16">
        <v>0</v>
      </c>
      <c r="AC487" s="16">
        <v>0</v>
      </c>
      <c r="AE487" s="16">
        <f t="shared" si="15"/>
        <v>979623</v>
      </c>
    </row>
    <row r="488" spans="1:31" ht="12.75" customHeight="1">
      <c r="A488" s="1" t="s">
        <v>455</v>
      </c>
      <c r="C488" s="1" t="s">
        <v>453</v>
      </c>
      <c r="E488" s="16">
        <v>4403</v>
      </c>
      <c r="G488" s="16">
        <v>100</v>
      </c>
      <c r="I488" s="16">
        <v>1407</v>
      </c>
      <c r="K488" s="16">
        <v>1405</v>
      </c>
      <c r="M488" s="16">
        <v>350</v>
      </c>
      <c r="O488" s="16">
        <v>48428</v>
      </c>
      <c r="Q488" s="16">
        <v>24393</v>
      </c>
      <c r="S488" s="16">
        <v>0</v>
      </c>
      <c r="U488" s="16">
        <v>0</v>
      </c>
      <c r="W488" s="16">
        <v>850</v>
      </c>
      <c r="Y488" s="16">
        <v>0</v>
      </c>
      <c r="AA488" s="16">
        <v>0</v>
      </c>
      <c r="AC488" s="16">
        <v>0</v>
      </c>
      <c r="AE488" s="16">
        <f t="shared" si="15"/>
        <v>81336</v>
      </c>
    </row>
    <row r="489" spans="1:31" ht="12.75" customHeight="1">
      <c r="A489" s="1" t="s">
        <v>647</v>
      </c>
      <c r="C489" s="1" t="s">
        <v>372</v>
      </c>
      <c r="E489" s="16">
        <v>490112</v>
      </c>
      <c r="G489" s="16">
        <v>15958</v>
      </c>
      <c r="I489" s="16">
        <v>1544</v>
      </c>
      <c r="K489" s="16">
        <v>0</v>
      </c>
      <c r="M489" s="16">
        <v>28281</v>
      </c>
      <c r="O489" s="16">
        <v>196103</v>
      </c>
      <c r="Q489" s="16">
        <v>256812</v>
      </c>
      <c r="S489" s="16">
        <v>114209</v>
      </c>
      <c r="U489" s="16">
        <v>36561</v>
      </c>
      <c r="W489" s="16">
        <v>41478</v>
      </c>
      <c r="Y489" s="16">
        <v>111000</v>
      </c>
      <c r="AA489" s="16">
        <v>5000</v>
      </c>
      <c r="AC489" s="16">
        <v>0</v>
      </c>
      <c r="AE489" s="16">
        <f t="shared" si="15"/>
        <v>1297058</v>
      </c>
    </row>
    <row r="490" spans="1:31" ht="12.75" customHeight="1">
      <c r="A490" s="1" t="s">
        <v>357</v>
      </c>
      <c r="B490" s="1"/>
      <c r="C490" s="1" t="s">
        <v>131</v>
      </c>
      <c r="E490" s="16">
        <v>27089</v>
      </c>
      <c r="G490" s="16">
        <v>634</v>
      </c>
      <c r="I490" s="16">
        <v>0</v>
      </c>
      <c r="K490" s="16">
        <v>128</v>
      </c>
      <c r="M490" s="16">
        <v>6448</v>
      </c>
      <c r="O490" s="16">
        <v>12702</v>
      </c>
      <c r="Q490" s="16">
        <v>24024</v>
      </c>
      <c r="S490" s="16">
        <v>5997</v>
      </c>
      <c r="U490" s="16">
        <v>0</v>
      </c>
      <c r="W490" s="16">
        <v>0</v>
      </c>
      <c r="Y490" s="16">
        <v>0</v>
      </c>
      <c r="AA490" s="16">
        <v>0</v>
      </c>
      <c r="AC490" s="16">
        <v>0</v>
      </c>
      <c r="AE490" s="16">
        <f t="shared" si="15"/>
        <v>77022</v>
      </c>
    </row>
    <row r="491" spans="1:31" ht="12.75" customHeight="1">
      <c r="A491" s="1" t="s">
        <v>502</v>
      </c>
      <c r="C491" s="1" t="s">
        <v>122</v>
      </c>
      <c r="E491" s="16">
        <v>46838</v>
      </c>
      <c r="G491" s="16">
        <v>0</v>
      </c>
      <c r="I491" s="16">
        <v>0</v>
      </c>
      <c r="K491" s="16">
        <v>0</v>
      </c>
      <c r="M491" s="16">
        <v>366</v>
      </c>
      <c r="O491" s="16">
        <v>2437</v>
      </c>
      <c r="Q491" s="16">
        <v>21062</v>
      </c>
      <c r="S491" s="16">
        <v>0</v>
      </c>
      <c r="U491" s="16">
        <v>0</v>
      </c>
      <c r="W491" s="16">
        <v>0</v>
      </c>
      <c r="Y491" s="16">
        <v>0</v>
      </c>
      <c r="AA491" s="16">
        <v>0</v>
      </c>
      <c r="AC491" s="16">
        <v>0</v>
      </c>
      <c r="AE491" s="16">
        <f t="shared" si="15"/>
        <v>70703</v>
      </c>
    </row>
    <row r="492" spans="1:31" ht="12.75" customHeight="1">
      <c r="A492" s="1" t="s">
        <v>137</v>
      </c>
      <c r="C492" s="1" t="s">
        <v>94</v>
      </c>
      <c r="E492" s="16">
        <v>105102</v>
      </c>
      <c r="G492" s="16">
        <v>350</v>
      </c>
      <c r="I492" s="16">
        <v>678</v>
      </c>
      <c r="K492" s="16">
        <v>633</v>
      </c>
      <c r="M492" s="16">
        <v>0</v>
      </c>
      <c r="O492" s="16">
        <v>30549</v>
      </c>
      <c r="Q492" s="16">
        <v>66279</v>
      </c>
      <c r="S492" s="16">
        <v>4260</v>
      </c>
      <c r="U492" s="16">
        <v>0</v>
      </c>
      <c r="W492" s="16">
        <v>0</v>
      </c>
      <c r="Y492" s="16">
        <v>82</v>
      </c>
      <c r="AA492" s="16">
        <v>0</v>
      </c>
      <c r="AC492" s="16">
        <v>0</v>
      </c>
      <c r="AE492" s="16">
        <f t="shared" si="15"/>
        <v>207933</v>
      </c>
    </row>
    <row r="493" spans="1:31" ht="12.75" customHeight="1">
      <c r="A493" s="1" t="s">
        <v>657</v>
      </c>
      <c r="C493" s="1" t="s">
        <v>155</v>
      </c>
      <c r="E493" s="16">
        <v>7690</v>
      </c>
      <c r="G493" s="16">
        <v>0</v>
      </c>
      <c r="I493" s="16">
        <v>0</v>
      </c>
      <c r="K493" s="16">
        <v>0</v>
      </c>
      <c r="M493" s="16">
        <v>0</v>
      </c>
      <c r="O493" s="16">
        <v>3271</v>
      </c>
      <c r="Q493" s="16">
        <v>22003</v>
      </c>
      <c r="S493" s="16">
        <v>0</v>
      </c>
      <c r="U493" s="16">
        <v>4865</v>
      </c>
      <c r="W493" s="16">
        <v>2880</v>
      </c>
      <c r="Y493" s="16">
        <v>10000</v>
      </c>
      <c r="AA493" s="16">
        <v>0</v>
      </c>
      <c r="AC493" s="16">
        <v>230</v>
      </c>
      <c r="AE493" s="16">
        <f t="shared" si="15"/>
        <v>50939</v>
      </c>
    </row>
    <row r="494" spans="1:31" ht="12.75" customHeight="1">
      <c r="A494" s="1" t="s">
        <v>470</v>
      </c>
      <c r="C494" s="1" t="s">
        <v>100</v>
      </c>
      <c r="E494" s="16">
        <v>250911</v>
      </c>
      <c r="G494" s="16">
        <v>4754</v>
      </c>
      <c r="I494" s="16">
        <v>0</v>
      </c>
      <c r="K494" s="16">
        <v>0</v>
      </c>
      <c r="M494" s="16">
        <v>0</v>
      </c>
      <c r="O494" s="16">
        <v>105679</v>
      </c>
      <c r="Q494" s="16">
        <v>121984</v>
      </c>
      <c r="S494" s="16">
        <v>247261</v>
      </c>
      <c r="U494" s="16">
        <v>55291</v>
      </c>
      <c r="W494" s="16">
        <v>14930</v>
      </c>
      <c r="Y494" s="16">
        <v>24959</v>
      </c>
      <c r="AA494" s="16">
        <v>0</v>
      </c>
      <c r="AC494" s="16">
        <v>0</v>
      </c>
      <c r="AE494" s="16">
        <f t="shared" si="15"/>
        <v>825769</v>
      </c>
    </row>
    <row r="495" spans="1:31" ht="12.75" customHeight="1">
      <c r="A495" s="1" t="s">
        <v>610</v>
      </c>
      <c r="C495" s="1" t="s">
        <v>164</v>
      </c>
      <c r="E495" s="16">
        <v>140463</v>
      </c>
      <c r="G495" s="16">
        <v>0</v>
      </c>
      <c r="I495" s="16">
        <v>144</v>
      </c>
      <c r="K495" s="16">
        <v>0</v>
      </c>
      <c r="M495" s="16">
        <v>0</v>
      </c>
      <c r="O495" s="16">
        <v>31117</v>
      </c>
      <c r="Q495" s="16">
        <v>55397</v>
      </c>
      <c r="S495" s="16">
        <v>0</v>
      </c>
      <c r="U495" s="16">
        <v>0</v>
      </c>
      <c r="W495" s="16">
        <v>0</v>
      </c>
      <c r="Y495" s="16">
        <v>0</v>
      </c>
      <c r="AA495" s="16">
        <v>0</v>
      </c>
      <c r="AC495" s="16">
        <v>0</v>
      </c>
      <c r="AE495" s="16">
        <f t="shared" si="15"/>
        <v>227121</v>
      </c>
    </row>
    <row r="496" spans="1:31" ht="12.75" customHeight="1">
      <c r="A496" s="1" t="s">
        <v>639</v>
      </c>
      <c r="C496" s="1" t="s">
        <v>268</v>
      </c>
      <c r="E496" s="16">
        <v>43961</v>
      </c>
      <c r="G496" s="16">
        <v>6067</v>
      </c>
      <c r="I496" s="16">
        <v>0</v>
      </c>
      <c r="K496" s="16">
        <v>0</v>
      </c>
      <c r="M496" s="16">
        <v>0</v>
      </c>
      <c r="O496" s="16">
        <v>62926</v>
      </c>
      <c r="Q496" s="16">
        <v>63296</v>
      </c>
      <c r="S496" s="16">
        <v>0</v>
      </c>
      <c r="U496" s="16">
        <v>297708</v>
      </c>
      <c r="W496" s="16">
        <v>7210</v>
      </c>
      <c r="Y496" s="16">
        <v>10000</v>
      </c>
      <c r="AA496" s="16">
        <v>0</v>
      </c>
      <c r="AC496" s="16">
        <v>10200</v>
      </c>
      <c r="AE496" s="16">
        <f t="shared" si="15"/>
        <v>501368</v>
      </c>
    </row>
    <row r="497" spans="1:31" ht="12.75" customHeight="1">
      <c r="A497" s="1" t="s">
        <v>676</v>
      </c>
      <c r="C497" s="1" t="s">
        <v>215</v>
      </c>
      <c r="E497" s="16">
        <v>438848</v>
      </c>
      <c r="G497" s="16">
        <v>6514</v>
      </c>
      <c r="I497" s="16">
        <v>287337</v>
      </c>
      <c r="K497" s="16">
        <v>600</v>
      </c>
      <c r="M497" s="16">
        <v>0</v>
      </c>
      <c r="O497" s="16">
        <v>119228</v>
      </c>
      <c r="Q497" s="16">
        <v>271988</v>
      </c>
      <c r="S497" s="16">
        <v>51297</v>
      </c>
      <c r="U497" s="16">
        <v>0</v>
      </c>
      <c r="W497" s="16">
        <v>193452</v>
      </c>
      <c r="Y497" s="16">
        <v>0</v>
      </c>
      <c r="AA497" s="16">
        <v>0</v>
      </c>
      <c r="AC497" s="16">
        <v>0</v>
      </c>
      <c r="AE497" s="16">
        <f t="shared" si="15"/>
        <v>1369264</v>
      </c>
    </row>
    <row r="498" spans="1:31" ht="12.75" customHeight="1">
      <c r="A498" s="1" t="s">
        <v>560</v>
      </c>
      <c r="C498" s="1" t="s">
        <v>199</v>
      </c>
      <c r="E498" s="16">
        <v>44644</v>
      </c>
      <c r="G498" s="16">
        <v>3898</v>
      </c>
      <c r="I498" s="16">
        <v>9253</v>
      </c>
      <c r="K498" s="16">
        <v>0</v>
      </c>
      <c r="M498" s="16">
        <v>0</v>
      </c>
      <c r="O498" s="16">
        <v>18778</v>
      </c>
      <c r="Q498" s="16">
        <v>27514</v>
      </c>
      <c r="S498" s="16">
        <v>404964</v>
      </c>
      <c r="U498" s="16">
        <v>19263</v>
      </c>
      <c r="W498" s="16">
        <v>183</v>
      </c>
      <c r="Y498" s="16">
        <v>0</v>
      </c>
      <c r="AA498" s="16">
        <v>0</v>
      </c>
      <c r="AC498" s="16">
        <v>0</v>
      </c>
      <c r="AE498" s="16">
        <f t="shared" si="15"/>
        <v>528497</v>
      </c>
    </row>
    <row r="499" spans="1:31" ht="12.75" customHeight="1">
      <c r="A499" s="1" t="s">
        <v>620</v>
      </c>
      <c r="C499" s="1" t="s">
        <v>369</v>
      </c>
      <c r="E499" s="16">
        <v>30969</v>
      </c>
      <c r="G499" s="16">
        <v>0</v>
      </c>
      <c r="I499" s="16">
        <v>20107</v>
      </c>
      <c r="K499" s="16">
        <v>0</v>
      </c>
      <c r="M499" s="16">
        <v>0</v>
      </c>
      <c r="O499" s="16">
        <v>36900</v>
      </c>
      <c r="Q499" s="16">
        <v>60741</v>
      </c>
      <c r="S499" s="16">
        <v>27678</v>
      </c>
      <c r="U499" s="16">
        <v>0</v>
      </c>
      <c r="W499" s="16">
        <v>0</v>
      </c>
      <c r="Y499" s="16">
        <v>0</v>
      </c>
      <c r="AA499" s="16">
        <v>0</v>
      </c>
      <c r="AC499" s="16">
        <v>0</v>
      </c>
      <c r="AE499" s="16">
        <f t="shared" si="15"/>
        <v>176395</v>
      </c>
    </row>
    <row r="500" spans="1:31" ht="12.75" customHeight="1">
      <c r="A500" s="1" t="s">
        <v>648</v>
      </c>
      <c r="C500" s="1" t="s">
        <v>372</v>
      </c>
      <c r="E500" s="16">
        <v>50706</v>
      </c>
      <c r="G500" s="16">
        <v>6797</v>
      </c>
      <c r="I500" s="16">
        <v>7998</v>
      </c>
      <c r="K500" s="16">
        <v>6933</v>
      </c>
      <c r="M500" s="16">
        <v>9948</v>
      </c>
      <c r="O500" s="16">
        <v>86211</v>
      </c>
      <c r="Q500" s="16">
        <v>28754</v>
      </c>
      <c r="S500" s="16">
        <v>28902</v>
      </c>
      <c r="U500" s="16">
        <v>30020</v>
      </c>
      <c r="W500" s="16">
        <v>1832</v>
      </c>
      <c r="Y500" s="16">
        <v>21067</v>
      </c>
      <c r="AA500" s="16">
        <v>0</v>
      </c>
      <c r="AC500" s="16">
        <v>0</v>
      </c>
      <c r="AE500" s="16">
        <f t="shared" si="15"/>
        <v>279168</v>
      </c>
    </row>
    <row r="501" spans="1:31" ht="12.75" customHeight="1">
      <c r="A501" s="1" t="s">
        <v>358</v>
      </c>
      <c r="B501" s="1"/>
      <c r="C501" s="1" t="s">
        <v>318</v>
      </c>
      <c r="E501" s="16">
        <v>74211</v>
      </c>
      <c r="G501" s="16">
        <v>830</v>
      </c>
      <c r="I501" s="16">
        <v>0</v>
      </c>
      <c r="K501" s="16">
        <v>0</v>
      </c>
      <c r="M501" s="16">
        <v>0</v>
      </c>
      <c r="O501" s="16">
        <v>3033</v>
      </c>
      <c r="Q501" s="16">
        <v>21921</v>
      </c>
      <c r="S501" s="16">
        <v>41900</v>
      </c>
      <c r="U501" s="16">
        <v>71541</v>
      </c>
      <c r="W501" s="16">
        <v>4917</v>
      </c>
      <c r="Y501" s="16">
        <v>59881</v>
      </c>
      <c r="AA501" s="16">
        <v>0</v>
      </c>
      <c r="AC501" s="16">
        <v>0</v>
      </c>
      <c r="AE501" s="16">
        <f t="shared" si="15"/>
        <v>278234</v>
      </c>
    </row>
    <row r="502" spans="1:31" ht="12.75" customHeight="1">
      <c r="A502" s="1" t="s">
        <v>573</v>
      </c>
      <c r="C502" s="1" t="s">
        <v>114</v>
      </c>
      <c r="E502" s="16">
        <v>20460</v>
      </c>
      <c r="G502" s="16">
        <v>1496</v>
      </c>
      <c r="I502" s="16">
        <v>4860</v>
      </c>
      <c r="K502" s="16">
        <v>45</v>
      </c>
      <c r="M502" s="16">
        <v>895</v>
      </c>
      <c r="O502" s="16">
        <v>13007</v>
      </c>
      <c r="Q502" s="16">
        <v>56920</v>
      </c>
      <c r="S502" s="16">
        <v>1368140</v>
      </c>
      <c r="U502" s="16">
        <v>8854</v>
      </c>
      <c r="W502" s="16">
        <v>1021</v>
      </c>
      <c r="Y502" s="16">
        <v>0</v>
      </c>
      <c r="AA502" s="16">
        <v>0</v>
      </c>
      <c r="AC502" s="16">
        <v>0</v>
      </c>
      <c r="AE502" s="16">
        <f t="shared" si="15"/>
        <v>1475698</v>
      </c>
    </row>
    <row r="503" spans="1:31" ht="12.75" customHeight="1">
      <c r="A503" s="1" t="s">
        <v>734</v>
      </c>
      <c r="C503" s="1" t="s">
        <v>129</v>
      </c>
      <c r="E503" s="16">
        <v>1263123</v>
      </c>
      <c r="G503" s="16">
        <v>23973</v>
      </c>
      <c r="I503" s="16">
        <v>0</v>
      </c>
      <c r="K503" s="16">
        <v>200925</v>
      </c>
      <c r="M503" s="16">
        <v>0</v>
      </c>
      <c r="O503" s="16">
        <v>261189</v>
      </c>
      <c r="Q503" s="16">
        <v>305377</v>
      </c>
      <c r="S503" s="16">
        <v>661503</v>
      </c>
      <c r="U503" s="16">
        <v>54204</v>
      </c>
      <c r="W503" s="16">
        <v>14477</v>
      </c>
      <c r="Y503" s="16">
        <v>244026</v>
      </c>
      <c r="AA503" s="16">
        <v>104094</v>
      </c>
      <c r="AC503" s="16">
        <v>1166</v>
      </c>
      <c r="AE503" s="16">
        <f t="shared" si="15"/>
        <v>3134057</v>
      </c>
    </row>
    <row r="504" spans="1:31" ht="12.75" customHeight="1">
      <c r="A504" s="1" t="s">
        <v>683</v>
      </c>
      <c r="C504" s="1" t="s">
        <v>179</v>
      </c>
      <c r="E504" s="16">
        <v>648</v>
      </c>
      <c r="G504" s="16">
        <v>10</v>
      </c>
      <c r="I504" s="16">
        <v>1710</v>
      </c>
      <c r="K504" s="16">
        <v>0</v>
      </c>
      <c r="M504" s="16">
        <v>196</v>
      </c>
      <c r="O504" s="16">
        <v>252</v>
      </c>
      <c r="Q504" s="16">
        <v>3581</v>
      </c>
      <c r="S504" s="16">
        <v>0</v>
      </c>
      <c r="U504" s="16">
        <v>0</v>
      </c>
      <c r="W504" s="16">
        <v>0</v>
      </c>
      <c r="Y504" s="16">
        <v>1500</v>
      </c>
      <c r="AA504" s="16">
        <v>0</v>
      </c>
      <c r="AC504" s="16">
        <v>0</v>
      </c>
      <c r="AE504" s="16">
        <f t="shared" si="15"/>
        <v>7897</v>
      </c>
    </row>
    <row r="505" spans="1:31" ht="12.75" customHeight="1">
      <c r="A505" s="1" t="s">
        <v>725</v>
      </c>
      <c r="C505" s="1" t="s">
        <v>118</v>
      </c>
      <c r="E505" s="16">
        <v>64067</v>
      </c>
      <c r="G505" s="16">
        <v>1820</v>
      </c>
      <c r="I505" s="16">
        <v>2671</v>
      </c>
      <c r="K505" s="16">
        <v>8000</v>
      </c>
      <c r="M505" s="16">
        <v>20804</v>
      </c>
      <c r="O505" s="16">
        <v>115952</v>
      </c>
      <c r="Q505" s="16">
        <v>55124</v>
      </c>
      <c r="S505" s="16">
        <v>0</v>
      </c>
      <c r="U505" s="16">
        <v>0</v>
      </c>
      <c r="W505" s="16">
        <v>0</v>
      </c>
      <c r="Y505" s="16">
        <v>0</v>
      </c>
      <c r="AA505" s="16">
        <v>0</v>
      </c>
      <c r="AC505" s="16">
        <v>0</v>
      </c>
      <c r="AE505" s="16">
        <f t="shared" si="15"/>
        <v>268438</v>
      </c>
    </row>
    <row r="506" spans="1:31" ht="12.75" customHeight="1">
      <c r="A506" s="1" t="s">
        <v>359</v>
      </c>
      <c r="B506" s="1"/>
      <c r="C506" s="1" t="s">
        <v>129</v>
      </c>
      <c r="E506" s="16">
        <v>3119530</v>
      </c>
      <c r="G506" s="16">
        <v>56608</v>
      </c>
      <c r="I506" s="16">
        <v>168393</v>
      </c>
      <c r="K506" s="16">
        <v>304100</v>
      </c>
      <c r="M506" s="16">
        <v>149384</v>
      </c>
      <c r="O506" s="16">
        <v>1436181</v>
      </c>
      <c r="Q506" s="16">
        <v>678692</v>
      </c>
      <c r="S506" s="16">
        <v>2456532</v>
      </c>
      <c r="U506" s="16">
        <v>1222901</v>
      </c>
      <c r="W506" s="16">
        <v>699832</v>
      </c>
      <c r="Y506" s="16">
        <v>6782000</v>
      </c>
      <c r="AA506" s="16">
        <v>0</v>
      </c>
      <c r="AC506" s="16">
        <v>88291</v>
      </c>
      <c r="AE506" s="16">
        <f t="shared" si="15"/>
        <v>17162444</v>
      </c>
    </row>
    <row r="507" spans="1:31" ht="12.75" customHeight="1">
      <c r="A507" s="1" t="s">
        <v>601</v>
      </c>
      <c r="C507" s="1" t="s">
        <v>69</v>
      </c>
      <c r="E507" s="16">
        <v>20664</v>
      </c>
      <c r="G507" s="16">
        <v>786</v>
      </c>
      <c r="I507" s="16">
        <v>12326</v>
      </c>
      <c r="K507" s="16">
        <v>0</v>
      </c>
      <c r="M507" s="16">
        <v>0</v>
      </c>
      <c r="O507" s="16">
        <v>63014</v>
      </c>
      <c r="Q507" s="16">
        <v>27259</v>
      </c>
      <c r="S507" s="16">
        <v>0</v>
      </c>
      <c r="U507" s="16">
        <v>4156</v>
      </c>
      <c r="W507" s="16">
        <v>293</v>
      </c>
      <c r="Y507" s="16">
        <v>0</v>
      </c>
      <c r="AA507" s="16">
        <v>0</v>
      </c>
      <c r="AC507" s="16">
        <v>0</v>
      </c>
      <c r="AE507" s="16">
        <f t="shared" si="15"/>
        <v>128498</v>
      </c>
    </row>
    <row r="508" spans="1:31" ht="12.75" customHeight="1">
      <c r="A508" s="16" t="s">
        <v>746</v>
      </c>
      <c r="B508" s="41"/>
      <c r="C508" s="16" t="s">
        <v>744</v>
      </c>
      <c r="D508" s="16"/>
      <c r="E508" s="16">
        <v>365836</v>
      </c>
      <c r="G508" s="16">
        <v>27169</v>
      </c>
      <c r="I508" s="16">
        <v>32704</v>
      </c>
      <c r="K508" s="16">
        <v>0</v>
      </c>
      <c r="M508" s="16">
        <v>0</v>
      </c>
      <c r="O508" s="16">
        <v>191059</v>
      </c>
      <c r="Q508" s="16">
        <v>113041</v>
      </c>
      <c r="S508" s="16">
        <v>156487</v>
      </c>
      <c r="U508" s="16">
        <v>0</v>
      </c>
      <c r="W508" s="16">
        <v>0</v>
      </c>
      <c r="Y508" s="16">
        <v>203234</v>
      </c>
      <c r="AA508" s="16">
        <v>112200</v>
      </c>
      <c r="AC508" s="16">
        <v>0</v>
      </c>
      <c r="AE508" s="16">
        <f t="shared" si="15"/>
        <v>1201730</v>
      </c>
    </row>
    <row r="509" spans="1:33" s="16" customFormat="1" ht="12.75" customHeight="1">
      <c r="A509" s="1" t="s">
        <v>577</v>
      </c>
      <c r="B509"/>
      <c r="C509" s="1" t="s">
        <v>65</v>
      </c>
      <c r="D509" s="1"/>
      <c r="E509" s="16">
        <v>26514</v>
      </c>
      <c r="G509" s="16">
        <v>5505</v>
      </c>
      <c r="I509" s="16">
        <v>0</v>
      </c>
      <c r="K509" s="16">
        <v>0</v>
      </c>
      <c r="M509" s="16">
        <v>2600</v>
      </c>
      <c r="O509" s="16">
        <v>8672</v>
      </c>
      <c r="Q509" s="16">
        <v>21700</v>
      </c>
      <c r="S509" s="16">
        <v>0</v>
      </c>
      <c r="U509" s="16">
        <v>0</v>
      </c>
      <c r="W509" s="16">
        <v>1366</v>
      </c>
      <c r="Y509" s="16">
        <v>0</v>
      </c>
      <c r="AA509" s="16">
        <v>0</v>
      </c>
      <c r="AC509" s="16">
        <v>0</v>
      </c>
      <c r="AE509" s="16">
        <f t="shared" si="15"/>
        <v>66357</v>
      </c>
      <c r="AG509" s="1"/>
    </row>
    <row r="510" spans="1:31" ht="12.75" customHeight="1">
      <c r="A510" s="1" t="s">
        <v>553</v>
      </c>
      <c r="C510" s="1" t="s">
        <v>210</v>
      </c>
      <c r="E510" s="16">
        <v>110066</v>
      </c>
      <c r="G510" s="16">
        <v>0</v>
      </c>
      <c r="I510" s="16">
        <v>1893</v>
      </c>
      <c r="K510" s="16">
        <v>117</v>
      </c>
      <c r="M510" s="16">
        <v>0</v>
      </c>
      <c r="O510" s="16">
        <v>27433</v>
      </c>
      <c r="Q510" s="16">
        <v>114083</v>
      </c>
      <c r="S510" s="16">
        <v>34812</v>
      </c>
      <c r="U510" s="16">
        <v>28120</v>
      </c>
      <c r="W510" s="16">
        <v>2477</v>
      </c>
      <c r="Y510" s="16">
        <v>0</v>
      </c>
      <c r="AA510" s="16">
        <v>0</v>
      </c>
      <c r="AC510" s="16">
        <v>0</v>
      </c>
      <c r="AE510" s="16">
        <f t="shared" si="15"/>
        <v>319001</v>
      </c>
    </row>
    <row r="511" ht="12.75" customHeight="1">
      <c r="O511" s="16"/>
    </row>
    <row r="512" spans="1:31" s="36" customFormat="1" ht="12.75" customHeight="1">
      <c r="A512" s="36" t="s">
        <v>360</v>
      </c>
      <c r="C512" s="36" t="s">
        <v>246</v>
      </c>
      <c r="E512" s="36">
        <v>511858</v>
      </c>
      <c r="G512" s="36">
        <v>0</v>
      </c>
      <c r="I512" s="36">
        <v>0</v>
      </c>
      <c r="K512" s="36">
        <v>0</v>
      </c>
      <c r="M512" s="36">
        <v>0</v>
      </c>
      <c r="O512" s="36">
        <v>176360</v>
      </c>
      <c r="Q512" s="36">
        <v>180106</v>
      </c>
      <c r="S512" s="36">
        <v>13518</v>
      </c>
      <c r="U512" s="36">
        <v>53301</v>
      </c>
      <c r="W512" s="36">
        <v>0</v>
      </c>
      <c r="Y512" s="36">
        <v>142209</v>
      </c>
      <c r="AA512" s="36">
        <v>0</v>
      </c>
      <c r="AC512" s="36">
        <v>4477</v>
      </c>
      <c r="AE512" s="36">
        <f aca="true" t="shared" si="16" ref="AE512:AE543">SUM(E512:AC512)</f>
        <v>1081829</v>
      </c>
    </row>
    <row r="513" spans="1:31" ht="12.75" customHeight="1">
      <c r="A513" s="1" t="s">
        <v>775</v>
      </c>
      <c r="C513" s="1" t="s">
        <v>94</v>
      </c>
      <c r="E513" s="16">
        <v>71247</v>
      </c>
      <c r="G513" s="16">
        <v>205</v>
      </c>
      <c r="I513" s="16">
        <v>6969</v>
      </c>
      <c r="K513" s="16">
        <v>20</v>
      </c>
      <c r="M513" s="16">
        <v>1174</v>
      </c>
      <c r="O513" s="16">
        <v>35015</v>
      </c>
      <c r="Q513" s="16">
        <v>51572</v>
      </c>
      <c r="S513" s="16">
        <v>115908</v>
      </c>
      <c r="U513" s="16">
        <v>7841</v>
      </c>
      <c r="W513" s="16">
        <v>745</v>
      </c>
      <c r="Y513" s="16">
        <v>333</v>
      </c>
      <c r="AA513" s="16">
        <v>14370</v>
      </c>
      <c r="AC513" s="16">
        <v>265</v>
      </c>
      <c r="AE513" s="16">
        <f t="shared" si="16"/>
        <v>305664</v>
      </c>
    </row>
    <row r="514" spans="1:31" ht="12.75" customHeight="1">
      <c r="A514" s="1" t="s">
        <v>361</v>
      </c>
      <c r="B514" s="1"/>
      <c r="C514" s="1" t="s">
        <v>149</v>
      </c>
      <c r="E514" s="16">
        <v>64720</v>
      </c>
      <c r="G514" s="16">
        <v>3269</v>
      </c>
      <c r="I514" s="16">
        <v>10563</v>
      </c>
      <c r="K514" s="16">
        <v>1790</v>
      </c>
      <c r="M514" s="16">
        <v>33501</v>
      </c>
      <c r="O514" s="16">
        <v>9656</v>
      </c>
      <c r="Q514" s="16">
        <v>47969</v>
      </c>
      <c r="S514" s="16">
        <v>0</v>
      </c>
      <c r="U514" s="16">
        <v>0</v>
      </c>
      <c r="W514" s="16">
        <v>0</v>
      </c>
      <c r="Y514" s="16">
        <v>0</v>
      </c>
      <c r="AA514" s="16">
        <v>0</v>
      </c>
      <c r="AC514" s="16">
        <v>14150</v>
      </c>
      <c r="AE514" s="16">
        <f t="shared" si="16"/>
        <v>185618</v>
      </c>
    </row>
    <row r="515" spans="1:31" ht="12.75" customHeight="1">
      <c r="A515" s="1" t="s">
        <v>362</v>
      </c>
      <c r="B515" s="1"/>
      <c r="C515" s="30" t="s">
        <v>76</v>
      </c>
      <c r="E515" s="16">
        <v>140436</v>
      </c>
      <c r="G515" s="16">
        <v>19097</v>
      </c>
      <c r="I515" s="16">
        <v>0</v>
      </c>
      <c r="K515" s="16">
        <v>11850</v>
      </c>
      <c r="M515" s="16">
        <v>0</v>
      </c>
      <c r="O515" s="16">
        <v>67367</v>
      </c>
      <c r="Q515" s="16">
        <v>54934</v>
      </c>
      <c r="S515" s="16">
        <v>316377</v>
      </c>
      <c r="U515" s="16">
        <v>41616</v>
      </c>
      <c r="W515" s="16">
        <v>43647</v>
      </c>
      <c r="Y515" s="16">
        <v>0</v>
      </c>
      <c r="AA515" s="16">
        <v>0</v>
      </c>
      <c r="AC515" s="16">
        <v>109</v>
      </c>
      <c r="AE515" s="16">
        <f t="shared" si="16"/>
        <v>695433</v>
      </c>
    </row>
    <row r="516" spans="1:31" ht="12.75" customHeight="1">
      <c r="A516" s="1" t="s">
        <v>625</v>
      </c>
      <c r="C516" s="1" t="s">
        <v>228</v>
      </c>
      <c r="E516" s="16">
        <v>3277</v>
      </c>
      <c r="G516" s="16">
        <v>0</v>
      </c>
      <c r="I516" s="16">
        <v>683</v>
      </c>
      <c r="K516" s="16">
        <v>5267</v>
      </c>
      <c r="M516" s="16">
        <v>0</v>
      </c>
      <c r="O516" s="16">
        <v>11348</v>
      </c>
      <c r="Q516" s="16">
        <v>15129</v>
      </c>
      <c r="S516" s="16">
        <v>0</v>
      </c>
      <c r="U516" s="16">
        <v>0</v>
      </c>
      <c r="W516" s="16">
        <v>0</v>
      </c>
      <c r="Y516" s="16">
        <v>0</v>
      </c>
      <c r="AA516" s="16">
        <v>0</v>
      </c>
      <c r="AC516" s="16">
        <v>16</v>
      </c>
      <c r="AE516" s="16">
        <f t="shared" si="16"/>
        <v>35720</v>
      </c>
    </row>
    <row r="517" spans="1:31" ht="12.75" customHeight="1">
      <c r="A517" s="1" t="s">
        <v>363</v>
      </c>
      <c r="B517" s="1"/>
      <c r="C517" s="30" t="s">
        <v>76</v>
      </c>
      <c r="E517" s="16">
        <v>17136</v>
      </c>
      <c r="G517" s="16">
        <v>3313</v>
      </c>
      <c r="I517" s="16">
        <v>0</v>
      </c>
      <c r="K517" s="16">
        <v>304</v>
      </c>
      <c r="M517" s="16">
        <v>1669</v>
      </c>
      <c r="O517" s="16">
        <v>41449</v>
      </c>
      <c r="Q517" s="16">
        <v>60221</v>
      </c>
      <c r="S517" s="16">
        <v>5466</v>
      </c>
      <c r="U517" s="16">
        <v>39642</v>
      </c>
      <c r="W517" s="16">
        <v>0</v>
      </c>
      <c r="Y517" s="16">
        <v>52777</v>
      </c>
      <c r="AA517" s="16">
        <v>0</v>
      </c>
      <c r="AC517" s="16">
        <v>3496</v>
      </c>
      <c r="AE517" s="16">
        <f t="shared" si="16"/>
        <v>225473</v>
      </c>
    </row>
    <row r="518" spans="1:31" ht="12.75" customHeight="1">
      <c r="A518" s="1" t="s">
        <v>364</v>
      </c>
      <c r="B518" s="1"/>
      <c r="C518" s="1" t="s">
        <v>167</v>
      </c>
      <c r="E518" s="16">
        <v>170579</v>
      </c>
      <c r="G518" s="16">
        <v>3154</v>
      </c>
      <c r="I518" s="16">
        <v>24040</v>
      </c>
      <c r="K518" s="16">
        <v>4021</v>
      </c>
      <c r="M518" s="16">
        <v>1899</v>
      </c>
      <c r="O518" s="16">
        <v>189222</v>
      </c>
      <c r="Q518" s="16">
        <v>87326</v>
      </c>
      <c r="S518" s="16">
        <v>169823</v>
      </c>
      <c r="U518" s="16">
        <v>0</v>
      </c>
      <c r="W518" s="16">
        <v>0</v>
      </c>
      <c r="Y518" s="16">
        <v>2800</v>
      </c>
      <c r="AA518" s="16">
        <v>0</v>
      </c>
      <c r="AC518" s="16">
        <v>0</v>
      </c>
      <c r="AE518" s="16">
        <f t="shared" si="16"/>
        <v>652864</v>
      </c>
    </row>
    <row r="519" spans="1:31" ht="12.75" customHeight="1">
      <c r="A519" s="1" t="s">
        <v>508</v>
      </c>
      <c r="C519" s="1" t="s">
        <v>414</v>
      </c>
      <c r="E519" s="16">
        <v>31982</v>
      </c>
      <c r="G519" s="16">
        <v>8</v>
      </c>
      <c r="I519" s="16">
        <v>649</v>
      </c>
      <c r="K519" s="16">
        <v>26153</v>
      </c>
      <c r="M519" s="16">
        <v>0</v>
      </c>
      <c r="O519" s="16">
        <v>15866</v>
      </c>
      <c r="Q519" s="16">
        <v>21135</v>
      </c>
      <c r="S519" s="16">
        <v>28383</v>
      </c>
      <c r="U519" s="16">
        <v>0</v>
      </c>
      <c r="W519" s="16">
        <v>0</v>
      </c>
      <c r="Y519" s="16">
        <v>0</v>
      </c>
      <c r="AA519" s="16">
        <v>68533</v>
      </c>
      <c r="AC519" s="16">
        <v>0</v>
      </c>
      <c r="AE519" s="16">
        <f t="shared" si="16"/>
        <v>192709</v>
      </c>
    </row>
    <row r="520" spans="1:31" ht="12.75" customHeight="1">
      <c r="A520" s="1" t="s">
        <v>365</v>
      </c>
      <c r="B520" s="1"/>
      <c r="C520" s="1" t="s">
        <v>67</v>
      </c>
      <c r="E520" s="16">
        <v>160327</v>
      </c>
      <c r="G520" s="16">
        <v>46852</v>
      </c>
      <c r="I520" s="16">
        <v>29192</v>
      </c>
      <c r="K520" s="16">
        <v>0</v>
      </c>
      <c r="M520" s="16">
        <v>0</v>
      </c>
      <c r="O520" s="16">
        <v>47523</v>
      </c>
      <c r="Q520" s="16">
        <v>53031</v>
      </c>
      <c r="S520" s="16">
        <v>124701</v>
      </c>
      <c r="U520" s="16">
        <v>41121</v>
      </c>
      <c r="W520" s="16">
        <v>0</v>
      </c>
      <c r="Y520" s="16">
        <v>0</v>
      </c>
      <c r="AA520" s="16">
        <v>0</v>
      </c>
      <c r="AC520" s="16">
        <v>0</v>
      </c>
      <c r="AE520" s="16">
        <f t="shared" si="16"/>
        <v>502747</v>
      </c>
    </row>
    <row r="521" spans="1:31" ht="12.75" customHeight="1">
      <c r="A521" s="1" t="s">
        <v>366</v>
      </c>
      <c r="B521" s="1"/>
      <c r="C521" s="1" t="s">
        <v>78</v>
      </c>
      <c r="E521" s="16">
        <v>13790</v>
      </c>
      <c r="G521" s="16">
        <v>511</v>
      </c>
      <c r="I521" s="16">
        <v>2735</v>
      </c>
      <c r="K521" s="16">
        <v>0</v>
      </c>
      <c r="M521" s="16">
        <v>38082</v>
      </c>
      <c r="O521" s="16">
        <v>2514</v>
      </c>
      <c r="Q521" s="16">
        <v>29655</v>
      </c>
      <c r="S521" s="16">
        <v>0</v>
      </c>
      <c r="U521" s="16">
        <v>0</v>
      </c>
      <c r="W521" s="16">
        <v>0</v>
      </c>
      <c r="Y521" s="16">
        <v>0</v>
      </c>
      <c r="AA521" s="16">
        <v>0</v>
      </c>
      <c r="AC521" s="16">
        <v>0</v>
      </c>
      <c r="AE521" s="16">
        <f t="shared" si="16"/>
        <v>87287</v>
      </c>
    </row>
    <row r="522" spans="1:31" ht="12.75" customHeight="1">
      <c r="A522" s="1" t="s">
        <v>367</v>
      </c>
      <c r="B522" s="1"/>
      <c r="C522" s="1" t="s">
        <v>96</v>
      </c>
      <c r="E522" s="16">
        <v>9427</v>
      </c>
      <c r="G522" s="16">
        <v>193</v>
      </c>
      <c r="I522" s="16">
        <v>14193</v>
      </c>
      <c r="K522" s="16">
        <v>28</v>
      </c>
      <c r="M522" s="16">
        <v>12041</v>
      </c>
      <c r="O522" s="16">
        <v>3698</v>
      </c>
      <c r="Q522" s="16">
        <v>19864</v>
      </c>
      <c r="S522" s="16">
        <v>1008247</v>
      </c>
      <c r="U522" s="16">
        <v>9515</v>
      </c>
      <c r="W522" s="16">
        <v>0</v>
      </c>
      <c r="Y522" s="16">
        <v>0</v>
      </c>
      <c r="AA522" s="16">
        <v>0</v>
      </c>
      <c r="AC522" s="16">
        <v>0</v>
      </c>
      <c r="AE522" s="16">
        <f t="shared" si="16"/>
        <v>1077206</v>
      </c>
    </row>
    <row r="523" spans="1:31" ht="12.75" customHeight="1">
      <c r="A523" s="1" t="s">
        <v>621</v>
      </c>
      <c r="C523" s="1" t="s">
        <v>369</v>
      </c>
      <c r="E523" s="16">
        <v>11002</v>
      </c>
      <c r="G523" s="16">
        <v>0</v>
      </c>
      <c r="I523" s="16">
        <v>6873</v>
      </c>
      <c r="K523" s="16">
        <v>98</v>
      </c>
      <c r="M523" s="16">
        <v>0</v>
      </c>
      <c r="O523" s="16">
        <v>60654</v>
      </c>
      <c r="Q523" s="16">
        <v>78908</v>
      </c>
      <c r="S523" s="16">
        <v>0</v>
      </c>
      <c r="U523" s="16">
        <v>0</v>
      </c>
      <c r="W523" s="16">
        <v>0</v>
      </c>
      <c r="Y523" s="16">
        <v>0</v>
      </c>
      <c r="AA523" s="16">
        <v>0</v>
      </c>
      <c r="AC523" s="16">
        <v>0</v>
      </c>
      <c r="AE523" s="16">
        <f t="shared" si="16"/>
        <v>157535</v>
      </c>
    </row>
    <row r="524" spans="1:31" ht="12.75" customHeight="1">
      <c r="A524" s="1" t="s">
        <v>534</v>
      </c>
      <c r="C524" s="1" t="s">
        <v>98</v>
      </c>
      <c r="E524" s="16">
        <v>1736</v>
      </c>
      <c r="G524" s="16">
        <v>665</v>
      </c>
      <c r="I524" s="16">
        <v>607</v>
      </c>
      <c r="K524" s="16">
        <v>54</v>
      </c>
      <c r="M524" s="16">
        <v>24301</v>
      </c>
      <c r="O524" s="16">
        <v>1472</v>
      </c>
      <c r="Q524" s="16">
        <v>17263</v>
      </c>
      <c r="S524" s="16">
        <v>124201</v>
      </c>
      <c r="U524" s="16">
        <v>0</v>
      </c>
      <c r="W524" s="16">
        <v>0</v>
      </c>
      <c r="Y524" s="16">
        <v>4403</v>
      </c>
      <c r="AA524" s="16">
        <v>655</v>
      </c>
      <c r="AC524" s="16">
        <v>0</v>
      </c>
      <c r="AE524" s="16">
        <f t="shared" si="16"/>
        <v>175357</v>
      </c>
    </row>
    <row r="525" spans="1:31" ht="12.75" customHeight="1">
      <c r="A525" s="1" t="s">
        <v>368</v>
      </c>
      <c r="B525" s="1"/>
      <c r="C525" s="1" t="s">
        <v>369</v>
      </c>
      <c r="E525" s="16">
        <v>127803</v>
      </c>
      <c r="G525" s="16">
        <v>0</v>
      </c>
      <c r="I525" s="16">
        <v>0</v>
      </c>
      <c r="K525" s="16">
        <v>16574</v>
      </c>
      <c r="M525" s="16">
        <v>0</v>
      </c>
      <c r="O525" s="16">
        <v>61684</v>
      </c>
      <c r="Q525" s="16">
        <v>116802</v>
      </c>
      <c r="S525" s="16">
        <v>68357</v>
      </c>
      <c r="U525" s="16">
        <v>16203</v>
      </c>
      <c r="W525" s="16">
        <v>0</v>
      </c>
      <c r="Y525" s="16">
        <v>0</v>
      </c>
      <c r="AA525" s="16">
        <v>0</v>
      </c>
      <c r="AC525" s="16">
        <v>0</v>
      </c>
      <c r="AE525" s="16">
        <f t="shared" si="16"/>
        <v>407423</v>
      </c>
    </row>
    <row r="526" spans="1:31" ht="12.75" customHeight="1">
      <c r="A526" s="1" t="s">
        <v>370</v>
      </c>
      <c r="B526" s="1"/>
      <c r="C526" s="1" t="s">
        <v>131</v>
      </c>
      <c r="E526" s="16">
        <v>33840</v>
      </c>
      <c r="G526" s="16">
        <v>3354</v>
      </c>
      <c r="I526" s="16">
        <v>10025</v>
      </c>
      <c r="K526" s="16">
        <v>912</v>
      </c>
      <c r="M526" s="16">
        <v>4946</v>
      </c>
      <c r="O526" s="16">
        <v>25258</v>
      </c>
      <c r="Q526" s="16">
        <v>126981</v>
      </c>
      <c r="S526" s="16">
        <v>252599</v>
      </c>
      <c r="U526" s="16">
        <v>12796</v>
      </c>
      <c r="W526" s="16">
        <v>0</v>
      </c>
      <c r="Y526" s="16">
        <v>0</v>
      </c>
      <c r="AA526" s="16">
        <v>0</v>
      </c>
      <c r="AC526" s="16">
        <v>0</v>
      </c>
      <c r="AE526" s="16">
        <f t="shared" si="16"/>
        <v>470711</v>
      </c>
    </row>
    <row r="527" spans="1:31" ht="12.75" customHeight="1">
      <c r="A527" s="1" t="s">
        <v>371</v>
      </c>
      <c r="B527" s="1"/>
      <c r="C527" s="1" t="s">
        <v>372</v>
      </c>
      <c r="E527" s="16">
        <v>35280</v>
      </c>
      <c r="G527" s="16">
        <v>0</v>
      </c>
      <c r="I527" s="16">
        <v>13400</v>
      </c>
      <c r="K527" s="16">
        <v>0</v>
      </c>
      <c r="M527" s="16">
        <v>0</v>
      </c>
      <c r="O527" s="16">
        <v>5547</v>
      </c>
      <c r="Q527" s="16">
        <v>50863</v>
      </c>
      <c r="S527" s="16">
        <v>16747</v>
      </c>
      <c r="U527" s="16">
        <v>2888</v>
      </c>
      <c r="W527" s="16">
        <v>192</v>
      </c>
      <c r="Y527" s="16">
        <v>0</v>
      </c>
      <c r="AA527" s="16">
        <v>0</v>
      </c>
      <c r="AC527" s="16">
        <v>0</v>
      </c>
      <c r="AE527" s="16">
        <f t="shared" si="16"/>
        <v>124917</v>
      </c>
    </row>
    <row r="528" spans="1:31" ht="12.75" customHeight="1">
      <c r="A528" s="1" t="s">
        <v>503</v>
      </c>
      <c r="C528" s="1" t="s">
        <v>122</v>
      </c>
      <c r="E528" s="16">
        <v>263066</v>
      </c>
      <c r="G528" s="16">
        <v>0</v>
      </c>
      <c r="I528" s="16">
        <v>365</v>
      </c>
      <c r="K528" s="16">
        <v>0</v>
      </c>
      <c r="M528" s="16">
        <v>0</v>
      </c>
      <c r="O528" s="16">
        <v>76541</v>
      </c>
      <c r="Q528" s="16">
        <v>102979</v>
      </c>
      <c r="S528" s="16">
        <v>0</v>
      </c>
      <c r="U528" s="16">
        <v>35744</v>
      </c>
      <c r="W528" s="16">
        <v>47682</v>
      </c>
      <c r="Y528" s="16">
        <v>0</v>
      </c>
      <c r="AA528" s="16">
        <v>0</v>
      </c>
      <c r="AC528" s="16">
        <v>3786</v>
      </c>
      <c r="AE528" s="16">
        <f t="shared" si="16"/>
        <v>530163</v>
      </c>
    </row>
    <row r="529" spans="1:31" ht="12.75" customHeight="1">
      <c r="A529" s="1" t="s">
        <v>653</v>
      </c>
      <c r="C529" s="1" t="s">
        <v>167</v>
      </c>
      <c r="E529" s="16">
        <v>191427</v>
      </c>
      <c r="G529" s="16">
        <v>6000</v>
      </c>
      <c r="I529" s="16">
        <v>116460</v>
      </c>
      <c r="K529" s="16">
        <v>0</v>
      </c>
      <c r="M529" s="16">
        <v>0</v>
      </c>
      <c r="O529" s="16">
        <v>127544</v>
      </c>
      <c r="Q529" s="16">
        <v>196166</v>
      </c>
      <c r="S529" s="16">
        <v>317885</v>
      </c>
      <c r="U529" s="16">
        <v>0</v>
      </c>
      <c r="W529" s="16">
        <v>0</v>
      </c>
      <c r="Y529" s="16">
        <v>180000</v>
      </c>
      <c r="AA529" s="16">
        <v>0</v>
      </c>
      <c r="AC529" s="16">
        <v>0</v>
      </c>
      <c r="AE529" s="16">
        <f t="shared" si="16"/>
        <v>1135482</v>
      </c>
    </row>
    <row r="530" spans="1:31" ht="12.75" customHeight="1">
      <c r="A530" s="1" t="s">
        <v>561</v>
      </c>
      <c r="C530" s="1" t="s">
        <v>199</v>
      </c>
      <c r="E530" s="16">
        <v>3535</v>
      </c>
      <c r="G530" s="16">
        <v>157</v>
      </c>
      <c r="I530" s="16">
        <v>4205</v>
      </c>
      <c r="K530" s="16">
        <v>0</v>
      </c>
      <c r="M530" s="16">
        <v>335</v>
      </c>
      <c r="O530" s="16">
        <v>8785</v>
      </c>
      <c r="Q530" s="16">
        <v>7048</v>
      </c>
      <c r="S530" s="16">
        <v>1172</v>
      </c>
      <c r="U530" s="16">
        <v>0</v>
      </c>
      <c r="W530" s="16">
        <v>0</v>
      </c>
      <c r="Y530" s="16">
        <v>0</v>
      </c>
      <c r="AA530" s="16">
        <v>0</v>
      </c>
      <c r="AC530" s="16">
        <v>0</v>
      </c>
      <c r="AE530" s="16">
        <f t="shared" si="16"/>
        <v>25237</v>
      </c>
    </row>
    <row r="531" spans="1:31" ht="12.75" customHeight="1">
      <c r="A531" s="1" t="s">
        <v>509</v>
      </c>
      <c r="C531" s="1" t="s">
        <v>414</v>
      </c>
      <c r="E531" s="16">
        <v>144098</v>
      </c>
      <c r="G531" s="16">
        <v>22829</v>
      </c>
      <c r="I531" s="16">
        <v>0</v>
      </c>
      <c r="K531" s="16">
        <v>0</v>
      </c>
      <c r="M531" s="16">
        <v>0</v>
      </c>
      <c r="O531" s="16">
        <v>122705</v>
      </c>
      <c r="Q531" s="16">
        <v>99185</v>
      </c>
      <c r="S531" s="16">
        <v>258249</v>
      </c>
      <c r="U531" s="16">
        <v>23724</v>
      </c>
      <c r="W531" s="16">
        <v>4909</v>
      </c>
      <c r="Y531" s="16">
        <v>7193</v>
      </c>
      <c r="AA531" s="16">
        <v>0</v>
      </c>
      <c r="AC531" s="16">
        <v>114</v>
      </c>
      <c r="AE531" s="16">
        <f t="shared" si="16"/>
        <v>683006</v>
      </c>
    </row>
    <row r="532" spans="1:31" ht="12.75" customHeight="1">
      <c r="A532" s="1" t="s">
        <v>373</v>
      </c>
      <c r="B532" s="1"/>
      <c r="C532" s="30" t="s">
        <v>437</v>
      </c>
      <c r="E532" s="16">
        <v>3975</v>
      </c>
      <c r="G532" s="16">
        <v>0</v>
      </c>
      <c r="I532" s="16">
        <v>0</v>
      </c>
      <c r="K532" s="16">
        <v>0</v>
      </c>
      <c r="M532" s="16">
        <v>0</v>
      </c>
      <c r="O532" s="16">
        <v>5515</v>
      </c>
      <c r="Q532" s="16">
        <v>12195</v>
      </c>
      <c r="S532" s="16">
        <v>1600</v>
      </c>
      <c r="U532" s="16">
        <v>0</v>
      </c>
      <c r="W532" s="16">
        <v>0</v>
      </c>
      <c r="Y532" s="16">
        <v>0</v>
      </c>
      <c r="AA532" s="16">
        <v>0</v>
      </c>
      <c r="AC532" s="16">
        <v>0</v>
      </c>
      <c r="AE532" s="16">
        <f t="shared" si="16"/>
        <v>23285</v>
      </c>
    </row>
    <row r="533" spans="1:31" ht="12.75" customHeight="1">
      <c r="A533" s="1" t="s">
        <v>477</v>
      </c>
      <c r="C533" s="1" t="s">
        <v>246</v>
      </c>
      <c r="E533" s="16">
        <v>99623</v>
      </c>
      <c r="G533" s="16">
        <v>26456</v>
      </c>
      <c r="I533" s="16">
        <v>0</v>
      </c>
      <c r="K533" s="16">
        <v>0</v>
      </c>
      <c r="M533" s="16">
        <v>0</v>
      </c>
      <c r="O533" s="16">
        <v>42621</v>
      </c>
      <c r="Q533" s="16">
        <v>78483</v>
      </c>
      <c r="S533" s="16">
        <v>167848</v>
      </c>
      <c r="U533" s="16">
        <v>75000</v>
      </c>
      <c r="W533" s="16">
        <v>1678</v>
      </c>
      <c r="Y533" s="16">
        <v>99200</v>
      </c>
      <c r="AA533" s="16">
        <v>0</v>
      </c>
      <c r="AC533" s="16">
        <v>0</v>
      </c>
      <c r="AE533" s="16">
        <f t="shared" si="16"/>
        <v>590909</v>
      </c>
    </row>
    <row r="534" spans="1:31" ht="12.75" customHeight="1">
      <c r="A534" s="1" t="s">
        <v>374</v>
      </c>
      <c r="B534" s="1"/>
      <c r="C534" s="30" t="s">
        <v>92</v>
      </c>
      <c r="E534" s="16">
        <v>12388</v>
      </c>
      <c r="G534" s="16">
        <v>0</v>
      </c>
      <c r="I534" s="16">
        <v>670</v>
      </c>
      <c r="K534" s="16">
        <v>279</v>
      </c>
      <c r="M534" s="16">
        <v>1475</v>
      </c>
      <c r="O534" s="16">
        <v>13163</v>
      </c>
      <c r="Q534" s="16">
        <v>26897</v>
      </c>
      <c r="S534" s="16">
        <v>0</v>
      </c>
      <c r="U534" s="16">
        <v>0</v>
      </c>
      <c r="W534" s="16">
        <v>0</v>
      </c>
      <c r="Y534" s="16">
        <v>0</v>
      </c>
      <c r="AA534" s="16">
        <v>0</v>
      </c>
      <c r="AC534" s="16">
        <v>0</v>
      </c>
      <c r="AE534" s="16">
        <f t="shared" si="16"/>
        <v>54872</v>
      </c>
    </row>
    <row r="535" spans="1:31" ht="12.75" customHeight="1">
      <c r="A535" s="1" t="s">
        <v>375</v>
      </c>
      <c r="B535" s="1"/>
      <c r="C535" s="1" t="s">
        <v>133</v>
      </c>
      <c r="E535" s="16">
        <v>8718</v>
      </c>
      <c r="G535" s="16">
        <v>442</v>
      </c>
      <c r="I535" s="16">
        <v>3249</v>
      </c>
      <c r="K535" s="16">
        <v>0</v>
      </c>
      <c r="M535" s="16">
        <v>0</v>
      </c>
      <c r="O535" s="16">
        <v>24637</v>
      </c>
      <c r="Q535" s="16">
        <v>53249</v>
      </c>
      <c r="S535" s="16">
        <v>36172</v>
      </c>
      <c r="U535" s="16">
        <v>0</v>
      </c>
      <c r="W535" s="16">
        <v>0</v>
      </c>
      <c r="Y535" s="16">
        <v>0</v>
      </c>
      <c r="AA535" s="16">
        <v>26216</v>
      </c>
      <c r="AC535" s="16">
        <v>2429</v>
      </c>
      <c r="AE535" s="16">
        <f t="shared" si="16"/>
        <v>155112</v>
      </c>
    </row>
    <row r="536" spans="1:31" ht="12.75" customHeight="1">
      <c r="A536" s="1" t="s">
        <v>376</v>
      </c>
      <c r="B536" s="1"/>
      <c r="C536" s="30" t="s">
        <v>346</v>
      </c>
      <c r="E536" s="16">
        <v>96260</v>
      </c>
      <c r="G536" s="16">
        <v>2887</v>
      </c>
      <c r="I536" s="16">
        <v>0</v>
      </c>
      <c r="K536" s="16">
        <v>0</v>
      </c>
      <c r="M536" s="16">
        <v>0</v>
      </c>
      <c r="O536" s="16">
        <v>26928</v>
      </c>
      <c r="Q536" s="16">
        <v>60080</v>
      </c>
      <c r="S536" s="16">
        <v>997</v>
      </c>
      <c r="U536" s="16">
        <v>0</v>
      </c>
      <c r="W536" s="16">
        <v>383</v>
      </c>
      <c r="Y536" s="16">
        <v>0</v>
      </c>
      <c r="AA536" s="16">
        <v>7000</v>
      </c>
      <c r="AC536" s="16">
        <v>0</v>
      </c>
      <c r="AE536" s="16">
        <f t="shared" si="16"/>
        <v>194535</v>
      </c>
    </row>
    <row r="537" spans="1:31" ht="12.75" customHeight="1">
      <c r="A537" s="1" t="s">
        <v>377</v>
      </c>
      <c r="B537" s="1"/>
      <c r="C537" s="1" t="s">
        <v>378</v>
      </c>
      <c r="E537" s="16">
        <v>1047447</v>
      </c>
      <c r="G537" s="16">
        <v>12717</v>
      </c>
      <c r="I537" s="16">
        <v>151556</v>
      </c>
      <c r="K537" s="16">
        <v>0</v>
      </c>
      <c r="M537" s="16">
        <v>0</v>
      </c>
      <c r="O537" s="16">
        <v>224378</v>
      </c>
      <c r="Q537" s="16">
        <v>719498</v>
      </c>
      <c r="S537" s="16">
        <v>941352</v>
      </c>
      <c r="U537" s="16">
        <v>0</v>
      </c>
      <c r="W537" s="16">
        <v>0</v>
      </c>
      <c r="Y537" s="16">
        <v>337010</v>
      </c>
      <c r="AA537" s="16">
        <v>0</v>
      </c>
      <c r="AC537" s="16">
        <v>0</v>
      </c>
      <c r="AE537" s="16">
        <f t="shared" si="16"/>
        <v>3433958</v>
      </c>
    </row>
    <row r="538" spans="1:31" ht="12.75" customHeight="1">
      <c r="A538" s="1" t="s">
        <v>562</v>
      </c>
      <c r="C538" s="1" t="s">
        <v>199</v>
      </c>
      <c r="E538" s="16">
        <v>55929</v>
      </c>
      <c r="G538" s="16">
        <v>46</v>
      </c>
      <c r="I538" s="16">
        <v>4838</v>
      </c>
      <c r="K538" s="16">
        <v>0</v>
      </c>
      <c r="M538" s="16">
        <v>0</v>
      </c>
      <c r="O538" s="16">
        <v>20335</v>
      </c>
      <c r="Q538" s="16">
        <v>24138</v>
      </c>
      <c r="S538" s="16">
        <v>33322</v>
      </c>
      <c r="U538" s="16">
        <v>32392</v>
      </c>
      <c r="W538" s="16">
        <v>10187</v>
      </c>
      <c r="Y538" s="16">
        <v>2632</v>
      </c>
      <c r="AA538" s="16">
        <v>0</v>
      </c>
      <c r="AC538" s="16">
        <v>0</v>
      </c>
      <c r="AE538" s="16">
        <f t="shared" si="16"/>
        <v>183819</v>
      </c>
    </row>
    <row r="539" spans="1:31" ht="12.75" customHeight="1">
      <c r="A539" s="1" t="s">
        <v>479</v>
      </c>
      <c r="C539" s="1" t="s">
        <v>146</v>
      </c>
      <c r="E539" s="16">
        <v>57960</v>
      </c>
      <c r="G539" s="16">
        <v>272</v>
      </c>
      <c r="I539" s="16">
        <v>2870</v>
      </c>
      <c r="K539" s="16">
        <v>231</v>
      </c>
      <c r="M539" s="16">
        <v>0</v>
      </c>
      <c r="O539" s="16">
        <v>11492</v>
      </c>
      <c r="Q539" s="16">
        <v>72038</v>
      </c>
      <c r="S539" s="16">
        <v>3617</v>
      </c>
      <c r="U539" s="16">
        <v>10000</v>
      </c>
      <c r="W539" s="16">
        <v>2193</v>
      </c>
      <c r="Y539" s="16">
        <v>1939</v>
      </c>
      <c r="AA539" s="16">
        <v>0</v>
      </c>
      <c r="AC539" s="16">
        <v>0</v>
      </c>
      <c r="AE539" s="16">
        <f t="shared" si="16"/>
        <v>162612</v>
      </c>
    </row>
    <row r="540" spans="1:31" ht="12.75" customHeight="1">
      <c r="A540" s="1" t="s">
        <v>643</v>
      </c>
      <c r="C540" s="1" t="s">
        <v>274</v>
      </c>
      <c r="E540" s="16">
        <v>769863</v>
      </c>
      <c r="G540" s="16">
        <v>987</v>
      </c>
      <c r="I540" s="16">
        <v>103158</v>
      </c>
      <c r="K540" s="16">
        <v>30806</v>
      </c>
      <c r="M540" s="16">
        <v>0</v>
      </c>
      <c r="O540" s="16">
        <v>169728</v>
      </c>
      <c r="Q540" s="16">
        <v>375517</v>
      </c>
      <c r="S540" s="16">
        <v>408037</v>
      </c>
      <c r="U540" s="16">
        <v>173000</v>
      </c>
      <c r="W540" s="16">
        <v>10334</v>
      </c>
      <c r="Y540" s="16">
        <v>1026129</v>
      </c>
      <c r="AA540" s="16">
        <v>0</v>
      </c>
      <c r="AC540" s="16">
        <v>455</v>
      </c>
      <c r="AE540" s="16">
        <f t="shared" si="16"/>
        <v>3068014</v>
      </c>
    </row>
    <row r="541" spans="1:31" ht="12.75" customHeight="1">
      <c r="A541" s="1" t="s">
        <v>471</v>
      </c>
      <c r="C541" s="1" t="s">
        <v>100</v>
      </c>
      <c r="E541" s="16">
        <v>484068</v>
      </c>
      <c r="G541" s="16">
        <v>14406</v>
      </c>
      <c r="I541" s="16">
        <v>77100</v>
      </c>
      <c r="K541" s="16">
        <v>1029</v>
      </c>
      <c r="M541" s="16">
        <v>0</v>
      </c>
      <c r="O541" s="16">
        <v>197781</v>
      </c>
      <c r="Q541" s="16">
        <v>184186</v>
      </c>
      <c r="S541" s="16">
        <v>51507</v>
      </c>
      <c r="U541" s="16">
        <v>20247</v>
      </c>
      <c r="W541" s="16">
        <v>5623</v>
      </c>
      <c r="Y541" s="16">
        <v>0</v>
      </c>
      <c r="AA541" s="16">
        <v>0</v>
      </c>
      <c r="AC541" s="16">
        <v>368</v>
      </c>
      <c r="AE541" s="16">
        <f t="shared" si="16"/>
        <v>1036315</v>
      </c>
    </row>
    <row r="542" spans="1:31" ht="12.75" customHeight="1">
      <c r="A542" s="1" t="s">
        <v>684</v>
      </c>
      <c r="C542" s="1" t="s">
        <v>179</v>
      </c>
      <c r="E542" s="16">
        <v>104724</v>
      </c>
      <c r="G542" s="16">
        <v>7824</v>
      </c>
      <c r="I542" s="16">
        <v>0</v>
      </c>
      <c r="K542" s="16">
        <v>646</v>
      </c>
      <c r="M542" s="16">
        <v>0</v>
      </c>
      <c r="O542" s="16">
        <v>81305</v>
      </c>
      <c r="Q542" s="16">
        <v>44911</v>
      </c>
      <c r="S542" s="16">
        <v>453</v>
      </c>
      <c r="U542" s="16">
        <v>14806</v>
      </c>
      <c r="W542" s="16">
        <v>536</v>
      </c>
      <c r="Y542" s="16">
        <v>0</v>
      </c>
      <c r="AA542" s="16">
        <v>0</v>
      </c>
      <c r="AC542" s="16">
        <v>0</v>
      </c>
      <c r="AE542" s="16">
        <f t="shared" si="16"/>
        <v>255205</v>
      </c>
    </row>
    <row r="543" spans="1:31" ht="12.75" customHeight="1">
      <c r="A543" s="1" t="s">
        <v>379</v>
      </c>
      <c r="B543" s="1"/>
      <c r="C543" s="1" t="s">
        <v>228</v>
      </c>
      <c r="E543" s="16">
        <v>2572774</v>
      </c>
      <c r="G543" s="16">
        <v>0</v>
      </c>
      <c r="I543" s="16">
        <v>10724</v>
      </c>
      <c r="K543" s="16">
        <v>10107</v>
      </c>
      <c r="M543" s="16">
        <v>54622</v>
      </c>
      <c r="O543" s="16">
        <v>199140</v>
      </c>
      <c r="Q543" s="16">
        <v>697483</v>
      </c>
      <c r="S543" s="16">
        <v>3423662</v>
      </c>
      <c r="U543" s="16">
        <v>0</v>
      </c>
      <c r="W543" s="16">
        <v>0</v>
      </c>
      <c r="Y543" s="16">
        <v>68040</v>
      </c>
      <c r="AA543" s="16">
        <v>0</v>
      </c>
      <c r="AC543" s="16">
        <v>0</v>
      </c>
      <c r="AE543" s="16">
        <f t="shared" si="16"/>
        <v>7036552</v>
      </c>
    </row>
    <row r="544" spans="1:31" ht="12.75" customHeight="1">
      <c r="A544" s="1" t="s">
        <v>484</v>
      </c>
      <c r="C544" s="1" t="s">
        <v>153</v>
      </c>
      <c r="E544" s="16">
        <v>10168</v>
      </c>
      <c r="G544" s="16">
        <v>0</v>
      </c>
      <c r="I544" s="16">
        <v>0</v>
      </c>
      <c r="K544" s="16">
        <v>0</v>
      </c>
      <c r="M544" s="16">
        <v>7200</v>
      </c>
      <c r="O544" s="16">
        <v>29980</v>
      </c>
      <c r="Q544" s="16">
        <v>11285</v>
      </c>
      <c r="S544" s="16">
        <v>0</v>
      </c>
      <c r="U544" s="16">
        <v>0</v>
      </c>
      <c r="W544" s="16">
        <v>0</v>
      </c>
      <c r="Y544" s="16">
        <v>0</v>
      </c>
      <c r="AA544" s="16">
        <v>0</v>
      </c>
      <c r="AC544" s="16">
        <v>44907</v>
      </c>
      <c r="AE544" s="16">
        <f aca="true" t="shared" si="17" ref="AE544:AE573">SUM(E544:AC544)</f>
        <v>103540</v>
      </c>
    </row>
    <row r="545" spans="1:31" ht="12.75" customHeight="1">
      <c r="A545" s="1" t="s">
        <v>525</v>
      </c>
      <c r="C545" s="1" t="s">
        <v>244</v>
      </c>
      <c r="E545" s="16">
        <v>72779</v>
      </c>
      <c r="G545" s="16">
        <v>1500</v>
      </c>
      <c r="I545" s="16">
        <v>8577</v>
      </c>
      <c r="K545" s="16">
        <v>6686</v>
      </c>
      <c r="M545" s="16">
        <v>974</v>
      </c>
      <c r="O545" s="16">
        <v>74138</v>
      </c>
      <c r="Q545" s="16">
        <v>70016</v>
      </c>
      <c r="S545" s="16">
        <v>34619</v>
      </c>
      <c r="U545" s="16">
        <v>20560</v>
      </c>
      <c r="W545" s="16">
        <v>9083</v>
      </c>
      <c r="Y545" s="16">
        <v>8615</v>
      </c>
      <c r="AA545" s="16">
        <v>0</v>
      </c>
      <c r="AC545" s="16">
        <v>6</v>
      </c>
      <c r="AE545" s="16">
        <f t="shared" si="17"/>
        <v>307553</v>
      </c>
    </row>
    <row r="546" spans="1:31" ht="12.75" customHeight="1">
      <c r="A546" s="1" t="s">
        <v>380</v>
      </c>
      <c r="B546" s="1"/>
      <c r="C546" s="1" t="s">
        <v>147</v>
      </c>
      <c r="E546" s="16">
        <v>29181</v>
      </c>
      <c r="G546" s="16">
        <v>383</v>
      </c>
      <c r="I546" s="16">
        <v>25672</v>
      </c>
      <c r="K546" s="16">
        <v>1384</v>
      </c>
      <c r="M546" s="16">
        <v>155</v>
      </c>
      <c r="O546" s="16">
        <v>89069</v>
      </c>
      <c r="Q546" s="16">
        <v>43100</v>
      </c>
      <c r="S546" s="16">
        <v>0</v>
      </c>
      <c r="U546" s="16">
        <v>1058</v>
      </c>
      <c r="W546" s="16">
        <v>0</v>
      </c>
      <c r="Y546" s="16">
        <v>0</v>
      </c>
      <c r="AA546" s="16">
        <v>0</v>
      </c>
      <c r="AC546" s="16">
        <v>0</v>
      </c>
      <c r="AE546" s="16">
        <f t="shared" si="17"/>
        <v>190002</v>
      </c>
    </row>
    <row r="547" spans="1:31" ht="12.75" customHeight="1">
      <c r="A547" s="1" t="s">
        <v>381</v>
      </c>
      <c r="B547" s="1"/>
      <c r="C547" s="1" t="s">
        <v>84</v>
      </c>
      <c r="E547" s="16">
        <v>289155</v>
      </c>
      <c r="G547" s="16">
        <v>4956</v>
      </c>
      <c r="I547" s="16">
        <v>0</v>
      </c>
      <c r="K547" s="16">
        <v>0</v>
      </c>
      <c r="M547" s="16">
        <v>0</v>
      </c>
      <c r="O547" s="16">
        <v>85556</v>
      </c>
      <c r="Q547" s="16">
        <v>90165</v>
      </c>
      <c r="S547" s="16">
        <v>21688</v>
      </c>
      <c r="U547" s="16">
        <v>0</v>
      </c>
      <c r="W547" s="16">
        <v>0</v>
      </c>
      <c r="Y547" s="16">
        <v>0</v>
      </c>
      <c r="AA547" s="16">
        <v>0</v>
      </c>
      <c r="AC547" s="16">
        <v>0</v>
      </c>
      <c r="AE547" s="16">
        <f t="shared" si="17"/>
        <v>491520</v>
      </c>
    </row>
    <row r="548" spans="1:31" ht="12.75" customHeight="1">
      <c r="A548" s="1" t="s">
        <v>382</v>
      </c>
      <c r="B548" s="1"/>
      <c r="C548" s="1" t="s">
        <v>129</v>
      </c>
      <c r="E548" s="16">
        <v>978571</v>
      </c>
      <c r="G548" s="16">
        <v>27167</v>
      </c>
      <c r="I548" s="16">
        <v>60286</v>
      </c>
      <c r="K548" s="16">
        <v>5954</v>
      </c>
      <c r="M548" s="16">
        <v>0</v>
      </c>
      <c r="O548" s="16">
        <v>463705</v>
      </c>
      <c r="Q548" s="16">
        <v>447615</v>
      </c>
      <c r="S548" s="16">
        <v>364011</v>
      </c>
      <c r="U548" s="16">
        <v>20000</v>
      </c>
      <c r="W548" s="16">
        <v>8310</v>
      </c>
      <c r="Y548" s="16">
        <v>47274</v>
      </c>
      <c r="AA548" s="16">
        <v>0</v>
      </c>
      <c r="AC548" s="16">
        <v>115</v>
      </c>
      <c r="AE548" s="16">
        <f t="shared" si="17"/>
        <v>2423008</v>
      </c>
    </row>
    <row r="549" spans="1:31" ht="12.75" customHeight="1">
      <c r="A549" s="1" t="s">
        <v>383</v>
      </c>
      <c r="B549" s="1"/>
      <c r="C549" s="1" t="s">
        <v>247</v>
      </c>
      <c r="E549" s="16">
        <v>3509</v>
      </c>
      <c r="G549" s="16">
        <v>1781</v>
      </c>
      <c r="I549" s="16">
        <v>0</v>
      </c>
      <c r="K549" s="16">
        <v>0</v>
      </c>
      <c r="M549" s="16">
        <v>752</v>
      </c>
      <c r="O549" s="16">
        <v>9697</v>
      </c>
      <c r="Q549" s="16">
        <v>7380</v>
      </c>
      <c r="S549" s="16">
        <v>0</v>
      </c>
      <c r="U549" s="16">
        <v>0</v>
      </c>
      <c r="W549" s="16">
        <v>0</v>
      </c>
      <c r="Y549" s="16">
        <v>0</v>
      </c>
      <c r="AA549" s="16">
        <v>0</v>
      </c>
      <c r="AC549" s="16">
        <v>0</v>
      </c>
      <c r="AE549" s="16">
        <f t="shared" si="17"/>
        <v>23119</v>
      </c>
    </row>
    <row r="550" spans="1:31" ht="12.75" customHeight="1">
      <c r="A550" s="1" t="s">
        <v>384</v>
      </c>
      <c r="B550" s="1"/>
      <c r="C550" s="1" t="s">
        <v>84</v>
      </c>
      <c r="E550" s="16">
        <v>265724</v>
      </c>
      <c r="G550" s="16">
        <v>5243</v>
      </c>
      <c r="I550" s="16">
        <v>217758</v>
      </c>
      <c r="K550" s="16">
        <v>38807</v>
      </c>
      <c r="M550" s="16">
        <v>0</v>
      </c>
      <c r="O550" s="16">
        <v>183295</v>
      </c>
      <c r="Q550" s="16">
        <v>116721</v>
      </c>
      <c r="S550" s="16">
        <v>0</v>
      </c>
      <c r="U550" s="16">
        <v>134471</v>
      </c>
      <c r="W550" s="16">
        <v>16170</v>
      </c>
      <c r="Y550" s="16">
        <v>372819</v>
      </c>
      <c r="AA550" s="16">
        <v>0</v>
      </c>
      <c r="AC550" s="16">
        <v>0</v>
      </c>
      <c r="AE550" s="16">
        <f t="shared" si="17"/>
        <v>1351008</v>
      </c>
    </row>
    <row r="551" spans="1:31" ht="12.75" customHeight="1">
      <c r="A551" s="1" t="s">
        <v>385</v>
      </c>
      <c r="B551" s="1"/>
      <c r="C551" s="1" t="s">
        <v>179</v>
      </c>
      <c r="E551" s="16">
        <v>114878</v>
      </c>
      <c r="G551" s="16">
        <v>0</v>
      </c>
      <c r="I551" s="16">
        <v>2000</v>
      </c>
      <c r="K551" s="16">
        <v>100</v>
      </c>
      <c r="M551" s="16">
        <v>0</v>
      </c>
      <c r="O551" s="16">
        <v>94022</v>
      </c>
      <c r="Q551" s="16">
        <v>74244</v>
      </c>
      <c r="S551" s="16">
        <v>1194043</v>
      </c>
      <c r="U551" s="16">
        <v>0</v>
      </c>
      <c r="W551" s="16">
        <v>0</v>
      </c>
      <c r="Y551" s="16">
        <v>0</v>
      </c>
      <c r="AA551" s="16">
        <v>0</v>
      </c>
      <c r="AC551" s="16">
        <v>0</v>
      </c>
      <c r="AE551" s="16">
        <f t="shared" si="17"/>
        <v>1479287</v>
      </c>
    </row>
    <row r="552" spans="1:31" ht="12.75" customHeight="1">
      <c r="A552" s="1" t="s">
        <v>480</v>
      </c>
      <c r="C552" s="1" t="s">
        <v>146</v>
      </c>
      <c r="E552" s="16">
        <v>20002</v>
      </c>
      <c r="G552" s="16">
        <v>90</v>
      </c>
      <c r="I552" s="16">
        <v>3190</v>
      </c>
      <c r="K552" s="16">
        <v>0</v>
      </c>
      <c r="M552" s="16">
        <v>0</v>
      </c>
      <c r="O552" s="16">
        <v>19978</v>
      </c>
      <c r="Q552" s="16">
        <v>24624</v>
      </c>
      <c r="S552" s="16">
        <v>4851</v>
      </c>
      <c r="U552" s="16">
        <v>0</v>
      </c>
      <c r="W552" s="16">
        <v>0</v>
      </c>
      <c r="Y552" s="16">
        <v>1883</v>
      </c>
      <c r="AA552" s="16">
        <v>0</v>
      </c>
      <c r="AC552" s="16">
        <v>0</v>
      </c>
      <c r="AE552" s="16">
        <f t="shared" si="17"/>
        <v>74618</v>
      </c>
    </row>
    <row r="553" spans="1:31" ht="12.75" customHeight="1">
      <c r="A553" s="1" t="s">
        <v>386</v>
      </c>
      <c r="B553" s="1"/>
      <c r="C553" s="1" t="s">
        <v>228</v>
      </c>
      <c r="E553" s="16">
        <v>157033</v>
      </c>
      <c r="G553" s="16">
        <v>59086</v>
      </c>
      <c r="I553" s="16">
        <v>17200</v>
      </c>
      <c r="K553" s="16">
        <v>940</v>
      </c>
      <c r="M553" s="16">
        <v>17290</v>
      </c>
      <c r="O553" s="16">
        <v>155534</v>
      </c>
      <c r="Q553" s="16">
        <v>116225</v>
      </c>
      <c r="S553" s="16">
        <v>594828</v>
      </c>
      <c r="U553" s="16">
        <v>27153</v>
      </c>
      <c r="W553" s="16">
        <v>12969</v>
      </c>
      <c r="Y553" s="16">
        <v>70076</v>
      </c>
      <c r="AA553" s="16">
        <v>0</v>
      </c>
      <c r="AC553" s="16">
        <v>7857</v>
      </c>
      <c r="AE553" s="16">
        <f t="shared" si="17"/>
        <v>1236191</v>
      </c>
    </row>
    <row r="554" spans="1:31" ht="12.75" customHeight="1">
      <c r="A554" s="1" t="s">
        <v>783</v>
      </c>
      <c r="C554" s="1" t="s">
        <v>184</v>
      </c>
      <c r="E554" s="16">
        <v>244812</v>
      </c>
      <c r="G554" s="16">
        <v>2700</v>
      </c>
      <c r="I554" s="16">
        <v>5321</v>
      </c>
      <c r="K554" s="16">
        <v>10780</v>
      </c>
      <c r="M554" s="16">
        <v>84034</v>
      </c>
      <c r="O554" s="16">
        <v>83043</v>
      </c>
      <c r="Q554" s="16">
        <v>139556</v>
      </c>
      <c r="S554" s="16">
        <v>75402</v>
      </c>
      <c r="U554" s="16">
        <v>0</v>
      </c>
      <c r="W554" s="16">
        <v>0</v>
      </c>
      <c r="Y554" s="16">
        <v>0</v>
      </c>
      <c r="AA554" s="16">
        <v>0</v>
      </c>
      <c r="AC554" s="16">
        <v>0</v>
      </c>
      <c r="AE554" s="16">
        <f t="shared" si="17"/>
        <v>645648</v>
      </c>
    </row>
    <row r="555" spans="1:31" ht="12.75" customHeight="1">
      <c r="A555" s="1" t="s">
        <v>489</v>
      </c>
      <c r="C555" s="1" t="s">
        <v>194</v>
      </c>
      <c r="E555" s="16">
        <v>158646</v>
      </c>
      <c r="G555" s="16">
        <v>44578</v>
      </c>
      <c r="I555" s="16">
        <v>0</v>
      </c>
      <c r="K555" s="16">
        <v>0</v>
      </c>
      <c r="M555" s="16">
        <v>0</v>
      </c>
      <c r="O555" s="16">
        <v>33129</v>
      </c>
      <c r="Q555" s="16">
        <v>399240</v>
      </c>
      <c r="S555" s="16">
        <v>80598</v>
      </c>
      <c r="U555" s="16">
        <v>0</v>
      </c>
      <c r="W555" s="16">
        <v>0</v>
      </c>
      <c r="Y555" s="16">
        <v>0</v>
      </c>
      <c r="AA555" s="16">
        <v>0</v>
      </c>
      <c r="AC555" s="16">
        <v>7053</v>
      </c>
      <c r="AE555" s="16">
        <f t="shared" si="17"/>
        <v>723244</v>
      </c>
    </row>
    <row r="556" spans="1:31" ht="12.75" customHeight="1">
      <c r="A556" s="1" t="s">
        <v>756</v>
      </c>
      <c r="C556" s="1" t="s">
        <v>172</v>
      </c>
      <c r="E556" s="16">
        <v>324008</v>
      </c>
      <c r="G556" s="16">
        <v>0</v>
      </c>
      <c r="I556" s="16">
        <v>37499</v>
      </c>
      <c r="K556" s="16">
        <v>1036</v>
      </c>
      <c r="M556" s="16">
        <v>0</v>
      </c>
      <c r="O556" s="16">
        <v>150669</v>
      </c>
      <c r="Q556" s="16">
        <v>361482</v>
      </c>
      <c r="S556" s="16">
        <v>74698</v>
      </c>
      <c r="U556" s="16">
        <v>0</v>
      </c>
      <c r="W556" s="16">
        <v>0</v>
      </c>
      <c r="Y556" s="16">
        <v>37774</v>
      </c>
      <c r="AA556" s="16">
        <v>0</v>
      </c>
      <c r="AC556" s="16">
        <v>0</v>
      </c>
      <c r="AE556" s="16">
        <f t="shared" si="17"/>
        <v>987166</v>
      </c>
    </row>
    <row r="557" spans="1:31" ht="12.75" customHeight="1">
      <c r="A557" s="1" t="s">
        <v>611</v>
      </c>
      <c r="C557" s="1" t="s">
        <v>164</v>
      </c>
      <c r="E557" s="16">
        <v>209266</v>
      </c>
      <c r="G557" s="16">
        <v>0</v>
      </c>
      <c r="I557" s="16">
        <v>500</v>
      </c>
      <c r="K557" s="16">
        <v>0</v>
      </c>
      <c r="M557" s="16">
        <v>0</v>
      </c>
      <c r="O557" s="16">
        <v>139021</v>
      </c>
      <c r="Q557" s="16">
        <v>67256</v>
      </c>
      <c r="S557" s="16">
        <v>82087</v>
      </c>
      <c r="U557" s="16">
        <v>652500</v>
      </c>
      <c r="W557" s="16">
        <v>14816</v>
      </c>
      <c r="Y557" s="16">
        <v>95592</v>
      </c>
      <c r="AA557" s="16">
        <v>0</v>
      </c>
      <c r="AC557" s="16">
        <v>0</v>
      </c>
      <c r="AE557" s="16">
        <f t="shared" si="17"/>
        <v>1261038</v>
      </c>
    </row>
    <row r="558" spans="1:31" ht="12.75" customHeight="1">
      <c r="A558" s="1" t="s">
        <v>387</v>
      </c>
      <c r="B558" s="1"/>
      <c r="C558" s="1" t="s">
        <v>291</v>
      </c>
      <c r="E558" s="16">
        <v>1153419</v>
      </c>
      <c r="G558" s="16">
        <v>1018</v>
      </c>
      <c r="I558" s="16">
        <v>0</v>
      </c>
      <c r="K558" s="16">
        <v>278658</v>
      </c>
      <c r="M558" s="16">
        <v>0</v>
      </c>
      <c r="O558" s="16">
        <v>744410</v>
      </c>
      <c r="Q558" s="16">
        <v>411345</v>
      </c>
      <c r="S558" s="16">
        <v>865828</v>
      </c>
      <c r="U558" s="16">
        <v>0</v>
      </c>
      <c r="W558" s="16">
        <v>0</v>
      </c>
      <c r="Y558" s="16">
        <v>1071652</v>
      </c>
      <c r="AA558" s="16">
        <v>0</v>
      </c>
      <c r="AC558" s="16">
        <v>0</v>
      </c>
      <c r="AE558" s="16">
        <f t="shared" si="17"/>
        <v>4526330</v>
      </c>
    </row>
    <row r="559" spans="1:31" ht="12.75" customHeight="1">
      <c r="A559" s="1" t="s">
        <v>629</v>
      </c>
      <c r="C559" s="1" t="s">
        <v>293</v>
      </c>
      <c r="E559" s="16">
        <v>36043</v>
      </c>
      <c r="G559" s="16">
        <v>0</v>
      </c>
      <c r="I559" s="16">
        <v>5958</v>
      </c>
      <c r="K559" s="16">
        <v>0</v>
      </c>
      <c r="M559" s="16">
        <v>0</v>
      </c>
      <c r="O559" s="16">
        <v>21888</v>
      </c>
      <c r="Q559" s="16">
        <v>38811</v>
      </c>
      <c r="S559" s="16">
        <v>0</v>
      </c>
      <c r="U559" s="16">
        <v>0</v>
      </c>
      <c r="W559" s="16">
        <v>0</v>
      </c>
      <c r="Y559" s="16">
        <v>0</v>
      </c>
      <c r="AA559" s="16">
        <v>0</v>
      </c>
      <c r="AC559" s="16">
        <v>0</v>
      </c>
      <c r="AE559" s="16">
        <f t="shared" si="17"/>
        <v>102700</v>
      </c>
    </row>
    <row r="560" spans="1:31" ht="12.75" customHeight="1">
      <c r="A560" s="1" t="s">
        <v>490</v>
      </c>
      <c r="C560" s="1" t="s">
        <v>194</v>
      </c>
      <c r="E560" s="16">
        <v>48584</v>
      </c>
      <c r="G560" s="16">
        <v>4459</v>
      </c>
      <c r="I560" s="16">
        <v>0</v>
      </c>
      <c r="K560" s="16">
        <v>0</v>
      </c>
      <c r="M560" s="16">
        <v>1273</v>
      </c>
      <c r="O560" s="16">
        <v>36555</v>
      </c>
      <c r="Q560" s="16">
        <v>52694</v>
      </c>
      <c r="S560" s="16">
        <v>49539</v>
      </c>
      <c r="U560" s="16">
        <v>0</v>
      </c>
      <c r="W560" s="16">
        <v>0</v>
      </c>
      <c r="Y560" s="16">
        <v>0</v>
      </c>
      <c r="AA560" s="16">
        <v>0</v>
      </c>
      <c r="AC560" s="16">
        <v>0</v>
      </c>
      <c r="AE560" s="16">
        <f t="shared" si="17"/>
        <v>193104</v>
      </c>
    </row>
    <row r="561" spans="1:31" ht="12.75" customHeight="1">
      <c r="A561" s="1" t="s">
        <v>721</v>
      </c>
      <c r="C561" s="1" t="s">
        <v>318</v>
      </c>
      <c r="E561" s="16">
        <v>17494</v>
      </c>
      <c r="G561" s="16">
        <v>5163</v>
      </c>
      <c r="I561" s="16">
        <v>0</v>
      </c>
      <c r="K561" s="16">
        <v>0</v>
      </c>
      <c r="M561" s="16">
        <v>3615</v>
      </c>
      <c r="O561" s="16">
        <v>12256</v>
      </c>
      <c r="Q561" s="16">
        <v>21907</v>
      </c>
      <c r="S561" s="16">
        <v>38960</v>
      </c>
      <c r="U561" s="16">
        <v>0</v>
      </c>
      <c r="W561" s="16">
        <v>0</v>
      </c>
      <c r="Y561" s="16">
        <v>37460</v>
      </c>
      <c r="AA561" s="16">
        <v>0</v>
      </c>
      <c r="AC561" s="16">
        <v>0</v>
      </c>
      <c r="AE561" s="16">
        <f t="shared" si="17"/>
        <v>136855</v>
      </c>
    </row>
    <row r="562" spans="1:31" ht="12.75" customHeight="1">
      <c r="A562" s="1" t="s">
        <v>671</v>
      </c>
      <c r="C562" s="1" t="s">
        <v>67</v>
      </c>
      <c r="E562" s="16">
        <v>182444</v>
      </c>
      <c r="G562" s="16">
        <v>0</v>
      </c>
      <c r="I562" s="16">
        <v>10056</v>
      </c>
      <c r="K562" s="16">
        <v>0</v>
      </c>
      <c r="M562" s="16">
        <v>0</v>
      </c>
      <c r="O562" s="16">
        <v>94072</v>
      </c>
      <c r="Q562" s="16">
        <v>150519</v>
      </c>
      <c r="S562" s="16">
        <v>103411</v>
      </c>
      <c r="U562" s="16">
        <v>25000</v>
      </c>
      <c r="W562" s="16">
        <v>41090</v>
      </c>
      <c r="Y562" s="16">
        <v>800</v>
      </c>
      <c r="AA562" s="16">
        <v>0</v>
      </c>
      <c r="AC562" s="16">
        <v>0</v>
      </c>
      <c r="AE562" s="16">
        <f t="shared" si="17"/>
        <v>607392</v>
      </c>
    </row>
    <row r="563" spans="1:31" ht="12.75" customHeight="1">
      <c r="A563" s="1" t="s">
        <v>644</v>
      </c>
      <c r="C563" s="1" t="s">
        <v>274</v>
      </c>
      <c r="E563" s="16">
        <v>78356</v>
      </c>
      <c r="G563" s="16">
        <v>0</v>
      </c>
      <c r="I563" s="16">
        <v>20967</v>
      </c>
      <c r="K563" s="16">
        <v>170</v>
      </c>
      <c r="M563" s="16">
        <v>835</v>
      </c>
      <c r="O563" s="16">
        <v>35839</v>
      </c>
      <c r="Q563" s="16">
        <v>40442</v>
      </c>
      <c r="S563" s="16">
        <v>0</v>
      </c>
      <c r="U563" s="16">
        <v>1652</v>
      </c>
      <c r="W563" s="16">
        <v>0</v>
      </c>
      <c r="Y563" s="16">
        <v>21122</v>
      </c>
      <c r="AA563" s="16">
        <v>0</v>
      </c>
      <c r="AC563" s="16">
        <v>0</v>
      </c>
      <c r="AE563" s="16">
        <f t="shared" si="17"/>
        <v>199383</v>
      </c>
    </row>
    <row r="564" spans="1:31" ht="12.75" customHeight="1">
      <c r="A564" s="1" t="s">
        <v>451</v>
      </c>
      <c r="C564" s="1" t="s">
        <v>447</v>
      </c>
      <c r="E564" s="16">
        <v>348802</v>
      </c>
      <c r="G564" s="16">
        <v>5429</v>
      </c>
      <c r="I564" s="16">
        <v>10132</v>
      </c>
      <c r="K564" s="16">
        <v>4000</v>
      </c>
      <c r="M564" s="16">
        <v>0</v>
      </c>
      <c r="O564" s="16">
        <v>141985</v>
      </c>
      <c r="Q564" s="16">
        <v>110712</v>
      </c>
      <c r="S564" s="16">
        <v>72997</v>
      </c>
      <c r="U564" s="16">
        <v>0</v>
      </c>
      <c r="W564" s="16">
        <v>0</v>
      </c>
      <c r="Y564" s="16">
        <v>448266</v>
      </c>
      <c r="AA564" s="16">
        <v>0</v>
      </c>
      <c r="AC564" s="16">
        <v>0</v>
      </c>
      <c r="AE564" s="16">
        <f t="shared" si="17"/>
        <v>1142323</v>
      </c>
    </row>
    <row r="565" spans="1:31" ht="12.75" customHeight="1">
      <c r="A565" s="1" t="s">
        <v>556</v>
      </c>
      <c r="C565" s="1" t="s">
        <v>157</v>
      </c>
      <c r="E565" s="16">
        <v>19256</v>
      </c>
      <c r="G565" s="16">
        <v>3137</v>
      </c>
      <c r="I565" s="16">
        <v>0</v>
      </c>
      <c r="K565" s="16">
        <v>1129</v>
      </c>
      <c r="M565" s="16">
        <v>8032</v>
      </c>
      <c r="O565" s="16">
        <v>58470</v>
      </c>
      <c r="Q565" s="16">
        <v>33066</v>
      </c>
      <c r="S565" s="16">
        <v>0</v>
      </c>
      <c r="U565" s="16">
        <v>0</v>
      </c>
      <c r="W565" s="16">
        <v>0</v>
      </c>
      <c r="Y565" s="16">
        <v>0</v>
      </c>
      <c r="AA565" s="16">
        <v>0</v>
      </c>
      <c r="AC565" s="16">
        <v>0</v>
      </c>
      <c r="AE565" s="16">
        <f t="shared" si="17"/>
        <v>123090</v>
      </c>
    </row>
    <row r="566" spans="1:31" ht="12.75" customHeight="1">
      <c r="A566" s="1" t="s">
        <v>388</v>
      </c>
      <c r="B566" s="1"/>
      <c r="C566" s="1" t="s">
        <v>231</v>
      </c>
      <c r="E566" s="16">
        <v>36769</v>
      </c>
      <c r="G566" s="16">
        <v>683</v>
      </c>
      <c r="I566" s="16">
        <v>11968</v>
      </c>
      <c r="K566" s="16">
        <v>1385</v>
      </c>
      <c r="M566" s="16">
        <v>0</v>
      </c>
      <c r="O566" s="16">
        <v>24677</v>
      </c>
      <c r="Q566" s="16">
        <v>43580</v>
      </c>
      <c r="S566" s="16">
        <v>0</v>
      </c>
      <c r="U566" s="16">
        <v>0</v>
      </c>
      <c r="W566" s="16">
        <v>0</v>
      </c>
      <c r="Y566" s="16">
        <v>0</v>
      </c>
      <c r="AA566" s="16">
        <v>0</v>
      </c>
      <c r="AC566" s="16">
        <v>0</v>
      </c>
      <c r="AE566" s="16">
        <f t="shared" si="17"/>
        <v>119062</v>
      </c>
    </row>
    <row r="567" spans="1:31" ht="12.75" customHeight="1">
      <c r="A567" s="1" t="s">
        <v>389</v>
      </c>
      <c r="B567" s="1"/>
      <c r="C567" s="1" t="s">
        <v>246</v>
      </c>
      <c r="E567" s="16">
        <v>1653</v>
      </c>
      <c r="G567" s="16">
        <v>0</v>
      </c>
      <c r="I567" s="16">
        <v>0</v>
      </c>
      <c r="K567" s="16">
        <v>0</v>
      </c>
      <c r="M567" s="16">
        <v>0</v>
      </c>
      <c r="O567" s="16">
        <v>0</v>
      </c>
      <c r="Q567" s="16">
        <v>1900</v>
      </c>
      <c r="S567" s="16">
        <v>3477</v>
      </c>
      <c r="U567" s="16">
        <v>0</v>
      </c>
      <c r="W567" s="16">
        <v>0</v>
      </c>
      <c r="Y567" s="16">
        <v>0</v>
      </c>
      <c r="AA567" s="16">
        <v>0</v>
      </c>
      <c r="AC567" s="16">
        <v>0</v>
      </c>
      <c r="AE567" s="16">
        <f t="shared" si="17"/>
        <v>7030</v>
      </c>
    </row>
    <row r="568" spans="1:31" ht="12.75" customHeight="1">
      <c r="A568" s="1" t="s">
        <v>486</v>
      </c>
      <c r="C568" s="1" t="s">
        <v>312</v>
      </c>
      <c r="E568" s="16">
        <v>279886</v>
      </c>
      <c r="G568" s="16">
        <v>20323</v>
      </c>
      <c r="I568" s="16">
        <v>4800</v>
      </c>
      <c r="K568" s="16">
        <v>11966</v>
      </c>
      <c r="M568" s="16">
        <v>0</v>
      </c>
      <c r="O568" s="16">
        <v>411777</v>
      </c>
      <c r="Q568" s="16">
        <v>95517</v>
      </c>
      <c r="S568" s="16">
        <v>0</v>
      </c>
      <c r="U568" s="16">
        <v>7630</v>
      </c>
      <c r="W568" s="16">
        <v>0</v>
      </c>
      <c r="Y568" s="16">
        <v>5000</v>
      </c>
      <c r="AA568" s="16">
        <v>0</v>
      </c>
      <c r="AC568" s="16">
        <v>0</v>
      </c>
      <c r="AE568" s="16">
        <f t="shared" si="17"/>
        <v>836899</v>
      </c>
    </row>
    <row r="569" spans="1:31" ht="12.75" customHeight="1">
      <c r="A569" s="1" t="s">
        <v>390</v>
      </c>
      <c r="B569" s="1"/>
      <c r="C569" s="1" t="s">
        <v>80</v>
      </c>
      <c r="E569" s="16">
        <v>3749</v>
      </c>
      <c r="G569" s="16">
        <v>261</v>
      </c>
      <c r="I569" s="16">
        <v>0</v>
      </c>
      <c r="K569" s="16">
        <v>0</v>
      </c>
      <c r="M569" s="16">
        <v>0</v>
      </c>
      <c r="O569" s="16">
        <v>435</v>
      </c>
      <c r="Q569" s="16">
        <v>1612</v>
      </c>
      <c r="S569" s="16">
        <v>0</v>
      </c>
      <c r="U569" s="16">
        <v>0</v>
      </c>
      <c r="W569" s="16">
        <v>0</v>
      </c>
      <c r="Y569" s="16">
        <v>0</v>
      </c>
      <c r="AA569" s="16">
        <v>0</v>
      </c>
      <c r="AC569" s="16">
        <v>0</v>
      </c>
      <c r="AE569" s="16">
        <f t="shared" si="17"/>
        <v>6057</v>
      </c>
    </row>
    <row r="570" spans="1:31" ht="12.75" customHeight="1">
      <c r="A570" s="1" t="s">
        <v>663</v>
      </c>
      <c r="C570" s="1" t="s">
        <v>280</v>
      </c>
      <c r="E570" s="16">
        <v>12683</v>
      </c>
      <c r="G570" s="16">
        <v>7264</v>
      </c>
      <c r="I570" s="16">
        <v>2783</v>
      </c>
      <c r="K570" s="16">
        <v>0</v>
      </c>
      <c r="M570" s="16">
        <v>360</v>
      </c>
      <c r="O570" s="16">
        <v>19532</v>
      </c>
      <c r="Q570" s="16">
        <v>27385</v>
      </c>
      <c r="S570" s="16">
        <v>14373</v>
      </c>
      <c r="U570" s="16">
        <v>0</v>
      </c>
      <c r="W570" s="16">
        <v>0</v>
      </c>
      <c r="Y570" s="16">
        <v>0</v>
      </c>
      <c r="AA570" s="16">
        <v>0</v>
      </c>
      <c r="AC570" s="16">
        <v>0</v>
      </c>
      <c r="AE570" s="16">
        <f t="shared" si="17"/>
        <v>84380</v>
      </c>
    </row>
    <row r="571" spans="1:31" ht="12.75" customHeight="1">
      <c r="A571" s="1" t="s">
        <v>741</v>
      </c>
      <c r="C571" s="1" t="s">
        <v>96</v>
      </c>
      <c r="E571" s="16">
        <v>5860</v>
      </c>
      <c r="G571" s="16">
        <v>265</v>
      </c>
      <c r="I571" s="16">
        <v>7623</v>
      </c>
      <c r="K571" s="16">
        <v>25</v>
      </c>
      <c r="M571" s="16">
        <v>6430</v>
      </c>
      <c r="O571" s="16">
        <v>5771</v>
      </c>
      <c r="Q571" s="16">
        <v>28794</v>
      </c>
      <c r="S571" s="16">
        <v>14233</v>
      </c>
      <c r="U571" s="16">
        <v>0</v>
      </c>
      <c r="W571" s="16">
        <v>0</v>
      </c>
      <c r="Y571" s="16">
        <v>1000</v>
      </c>
      <c r="AA571" s="16">
        <v>0</v>
      </c>
      <c r="AC571" s="16">
        <v>0</v>
      </c>
      <c r="AE571" s="16">
        <f t="shared" si="17"/>
        <v>70001</v>
      </c>
    </row>
    <row r="572" spans="1:33" s="16" customFormat="1" ht="12.75" customHeight="1">
      <c r="A572" s="16" t="s">
        <v>391</v>
      </c>
      <c r="C572" s="16" t="s">
        <v>96</v>
      </c>
      <c r="E572" s="16">
        <v>236381</v>
      </c>
      <c r="G572" s="16">
        <v>1396</v>
      </c>
      <c r="I572" s="16">
        <v>21227</v>
      </c>
      <c r="K572" s="16">
        <v>2926</v>
      </c>
      <c r="M572" s="16">
        <v>56214</v>
      </c>
      <c r="O572" s="16">
        <v>96128</v>
      </c>
      <c r="Q572" s="16">
        <v>270674</v>
      </c>
      <c r="S572" s="16">
        <v>164410</v>
      </c>
      <c r="U572" s="16">
        <v>862</v>
      </c>
      <c r="W572" s="16">
        <v>11138</v>
      </c>
      <c r="Y572" s="16">
        <v>0</v>
      </c>
      <c r="AA572" s="16">
        <v>0</v>
      </c>
      <c r="AC572" s="16">
        <v>0</v>
      </c>
      <c r="AE572" s="16">
        <f t="shared" si="17"/>
        <v>861356</v>
      </c>
      <c r="AG572" s="1"/>
    </row>
    <row r="573" spans="1:31" ht="12.75" customHeight="1">
      <c r="A573" s="1" t="s">
        <v>392</v>
      </c>
      <c r="B573" s="1"/>
      <c r="C573" s="1" t="s">
        <v>69</v>
      </c>
      <c r="E573" s="16">
        <v>60288</v>
      </c>
      <c r="G573" s="16">
        <v>40000</v>
      </c>
      <c r="I573" s="16">
        <v>96040</v>
      </c>
      <c r="K573" s="16">
        <v>0</v>
      </c>
      <c r="M573" s="16">
        <v>118739</v>
      </c>
      <c r="O573" s="16">
        <v>102045</v>
      </c>
      <c r="Q573" s="16">
        <v>609865</v>
      </c>
      <c r="S573" s="16">
        <v>470890</v>
      </c>
      <c r="U573" s="16">
        <v>65786</v>
      </c>
      <c r="W573" s="16">
        <v>0</v>
      </c>
      <c r="Y573" s="16">
        <v>33000</v>
      </c>
      <c r="AA573" s="16">
        <v>0</v>
      </c>
      <c r="AC573" s="16">
        <v>0</v>
      </c>
      <c r="AE573" s="16">
        <f t="shared" si="17"/>
        <v>1596653</v>
      </c>
    </row>
    <row r="574" spans="2:31" ht="12.75" customHeight="1">
      <c r="B574" s="1"/>
      <c r="O574" s="16"/>
      <c r="AE574" s="34" t="s">
        <v>785</v>
      </c>
    </row>
    <row r="575" spans="1:31" s="36" customFormat="1" ht="12.75" customHeight="1">
      <c r="A575" s="36" t="s">
        <v>393</v>
      </c>
      <c r="C575" s="36" t="s">
        <v>190</v>
      </c>
      <c r="E575" s="36">
        <v>213397</v>
      </c>
      <c r="G575" s="36">
        <v>16415</v>
      </c>
      <c r="I575" s="36">
        <v>2000</v>
      </c>
      <c r="K575" s="36">
        <v>2975</v>
      </c>
      <c r="M575" s="36">
        <v>8502</v>
      </c>
      <c r="O575" s="36">
        <v>149163</v>
      </c>
      <c r="Q575" s="36">
        <v>736083</v>
      </c>
      <c r="S575" s="36">
        <v>0</v>
      </c>
      <c r="U575" s="36">
        <v>0</v>
      </c>
      <c r="W575" s="36">
        <v>0</v>
      </c>
      <c r="Y575" s="36">
        <v>23000</v>
      </c>
      <c r="AA575" s="36">
        <v>0</v>
      </c>
      <c r="AC575" s="36">
        <v>0</v>
      </c>
      <c r="AE575" s="36">
        <f aca="true" t="shared" si="18" ref="AE575:AE606">SUM(E575:AC575)</f>
        <v>1151535</v>
      </c>
    </row>
    <row r="576" spans="1:31" ht="12.75" customHeight="1">
      <c r="A576" s="1" t="s">
        <v>693</v>
      </c>
      <c r="C576" s="1" t="s">
        <v>137</v>
      </c>
      <c r="E576" s="16">
        <v>12177</v>
      </c>
      <c r="G576" s="16">
        <v>4200</v>
      </c>
      <c r="I576" s="16">
        <v>0</v>
      </c>
      <c r="K576" s="16">
        <v>69812</v>
      </c>
      <c r="M576" s="16">
        <v>21797</v>
      </c>
      <c r="O576" s="16">
        <v>17357</v>
      </c>
      <c r="Q576" s="16">
        <v>56324</v>
      </c>
      <c r="S576" s="16">
        <v>0</v>
      </c>
      <c r="U576" s="16">
        <v>0</v>
      </c>
      <c r="W576" s="16">
        <v>0</v>
      </c>
      <c r="Y576" s="16">
        <v>0</v>
      </c>
      <c r="AA576" s="16">
        <v>0</v>
      </c>
      <c r="AC576" s="16">
        <v>0</v>
      </c>
      <c r="AE576" s="16">
        <f t="shared" si="18"/>
        <v>181667</v>
      </c>
    </row>
    <row r="577" spans="1:31" ht="12.75" customHeight="1">
      <c r="A577" s="1" t="s">
        <v>535</v>
      </c>
      <c r="C577" s="1" t="s">
        <v>98</v>
      </c>
      <c r="E577" s="16">
        <v>31633</v>
      </c>
      <c r="G577" s="16">
        <v>1238</v>
      </c>
      <c r="I577" s="16">
        <v>0</v>
      </c>
      <c r="K577" s="16">
        <v>2616</v>
      </c>
      <c r="M577" s="16">
        <v>0</v>
      </c>
      <c r="O577" s="16">
        <v>16137</v>
      </c>
      <c r="Q577" s="16">
        <v>85564</v>
      </c>
      <c r="S577" s="16">
        <v>32305</v>
      </c>
      <c r="U577" s="16">
        <v>0</v>
      </c>
      <c r="W577" s="16">
        <v>0</v>
      </c>
      <c r="Y577" s="16">
        <v>0</v>
      </c>
      <c r="AA577" s="16">
        <v>0</v>
      </c>
      <c r="AC577" s="16">
        <v>0</v>
      </c>
      <c r="AE577" s="16">
        <f t="shared" si="18"/>
        <v>169493</v>
      </c>
    </row>
    <row r="578" spans="1:31" ht="12.75" customHeight="1">
      <c r="A578" s="1" t="s">
        <v>394</v>
      </c>
      <c r="B578" s="1"/>
      <c r="C578" s="1" t="s">
        <v>96</v>
      </c>
      <c r="E578" s="16">
        <v>401007</v>
      </c>
      <c r="G578" s="16">
        <v>2797</v>
      </c>
      <c r="I578" s="16">
        <v>15147</v>
      </c>
      <c r="K578" s="16">
        <v>7512</v>
      </c>
      <c r="M578" s="16">
        <v>93264</v>
      </c>
      <c r="O578" s="16">
        <v>201493</v>
      </c>
      <c r="Q578" s="16">
        <v>321311</v>
      </c>
      <c r="S578" s="16">
        <v>267620</v>
      </c>
      <c r="U578" s="16">
        <v>322124</v>
      </c>
      <c r="W578" s="16">
        <v>11738</v>
      </c>
      <c r="Y578" s="16">
        <v>85000</v>
      </c>
      <c r="AA578" s="16">
        <v>0</v>
      </c>
      <c r="AC578" s="16">
        <v>0</v>
      </c>
      <c r="AE578" s="16">
        <f t="shared" si="18"/>
        <v>1729013</v>
      </c>
    </row>
    <row r="579" spans="1:31" ht="12.75" customHeight="1">
      <c r="A579" s="1" t="s">
        <v>672</v>
      </c>
      <c r="C579" s="1" t="s">
        <v>104</v>
      </c>
      <c r="E579" s="16">
        <v>6577</v>
      </c>
      <c r="G579" s="16">
        <v>0</v>
      </c>
      <c r="I579" s="16">
        <v>3830</v>
      </c>
      <c r="K579" s="16">
        <v>0</v>
      </c>
      <c r="M579" s="16">
        <v>2024</v>
      </c>
      <c r="O579" s="16">
        <v>5639</v>
      </c>
      <c r="Q579" s="16">
        <v>23426</v>
      </c>
      <c r="S579" s="16">
        <v>0</v>
      </c>
      <c r="U579" s="16">
        <v>0</v>
      </c>
      <c r="W579" s="16">
        <v>0</v>
      </c>
      <c r="Y579" s="16">
        <v>800</v>
      </c>
      <c r="AA579" s="16">
        <v>0</v>
      </c>
      <c r="AC579" s="16">
        <v>95</v>
      </c>
      <c r="AE579" s="16">
        <f t="shared" si="18"/>
        <v>42391</v>
      </c>
    </row>
    <row r="580" spans="1:31" ht="12.75" customHeight="1">
      <c r="A580" s="1" t="s">
        <v>510</v>
      </c>
      <c r="C580" s="1" t="s">
        <v>414</v>
      </c>
      <c r="E580" s="16">
        <v>4394</v>
      </c>
      <c r="G580" s="16">
        <v>0</v>
      </c>
      <c r="I580" s="16">
        <v>2721</v>
      </c>
      <c r="K580" s="16">
        <v>0</v>
      </c>
      <c r="M580" s="16">
        <v>4291</v>
      </c>
      <c r="O580" s="16">
        <v>516</v>
      </c>
      <c r="Q580" s="16">
        <v>15473</v>
      </c>
      <c r="S580" s="16">
        <v>0</v>
      </c>
      <c r="U580" s="16">
        <v>0</v>
      </c>
      <c r="W580" s="16">
        <v>0</v>
      </c>
      <c r="Y580" s="16">
        <v>0</v>
      </c>
      <c r="AA580" s="16">
        <v>0</v>
      </c>
      <c r="AC580" s="16">
        <v>0</v>
      </c>
      <c r="AE580" s="16">
        <f t="shared" si="18"/>
        <v>27395</v>
      </c>
    </row>
    <row r="581" spans="1:31" ht="12.75" customHeight="1">
      <c r="A581" s="1" t="s">
        <v>395</v>
      </c>
      <c r="B581" s="1"/>
      <c r="C581" s="1" t="s">
        <v>90</v>
      </c>
      <c r="E581" s="16">
        <v>989428</v>
      </c>
      <c r="G581" s="16">
        <v>19784</v>
      </c>
      <c r="I581" s="16">
        <v>10949</v>
      </c>
      <c r="K581" s="16">
        <v>148825</v>
      </c>
      <c r="M581" s="16">
        <v>0</v>
      </c>
      <c r="O581" s="16">
        <v>535382</v>
      </c>
      <c r="Q581" s="16">
        <v>585200</v>
      </c>
      <c r="S581" s="16">
        <v>1265086</v>
      </c>
      <c r="U581" s="16">
        <v>1132800</v>
      </c>
      <c r="W581" s="16">
        <v>26102</v>
      </c>
      <c r="Y581" s="16">
        <v>0</v>
      </c>
      <c r="AA581" s="16">
        <v>0</v>
      </c>
      <c r="AC581" s="16">
        <v>0</v>
      </c>
      <c r="AE581" s="16">
        <f t="shared" si="18"/>
        <v>4713556</v>
      </c>
    </row>
    <row r="582" spans="1:31" ht="12.75" customHeight="1">
      <c r="A582" s="1" t="s">
        <v>396</v>
      </c>
      <c r="B582" s="1"/>
      <c r="C582" s="1" t="s">
        <v>87</v>
      </c>
      <c r="E582" s="16">
        <v>580284</v>
      </c>
      <c r="G582" s="16">
        <v>745</v>
      </c>
      <c r="I582" s="16">
        <v>0</v>
      </c>
      <c r="K582" s="16">
        <v>65142</v>
      </c>
      <c r="M582" s="16">
        <v>80987</v>
      </c>
      <c r="O582" s="16">
        <v>246892</v>
      </c>
      <c r="Q582" s="16">
        <v>365699</v>
      </c>
      <c r="S582" s="16">
        <v>722438</v>
      </c>
      <c r="U582" s="16">
        <v>695572</v>
      </c>
      <c r="W582" s="16">
        <v>9636</v>
      </c>
      <c r="Y582" s="16">
        <v>0</v>
      </c>
      <c r="AA582" s="16">
        <v>0</v>
      </c>
      <c r="AC582" s="16">
        <v>0</v>
      </c>
      <c r="AE582" s="16">
        <f t="shared" si="18"/>
        <v>2767395</v>
      </c>
    </row>
    <row r="583" spans="1:31" ht="12.75" customHeight="1">
      <c r="A583" s="1" t="s">
        <v>781</v>
      </c>
      <c r="C583" s="1" t="s">
        <v>151</v>
      </c>
      <c r="E583" s="16">
        <v>183529</v>
      </c>
      <c r="G583" s="16">
        <v>34951</v>
      </c>
      <c r="I583" s="16">
        <v>3360</v>
      </c>
      <c r="K583" s="16">
        <v>198976</v>
      </c>
      <c r="M583" s="16">
        <v>0</v>
      </c>
      <c r="O583" s="16">
        <v>153686</v>
      </c>
      <c r="Q583" s="16">
        <v>91268</v>
      </c>
      <c r="S583" s="16">
        <v>0</v>
      </c>
      <c r="U583" s="16">
        <v>0</v>
      </c>
      <c r="W583" s="16">
        <v>0</v>
      </c>
      <c r="Y583" s="16">
        <v>117727</v>
      </c>
      <c r="AA583" s="16">
        <v>25000</v>
      </c>
      <c r="AC583" s="16">
        <v>92085</v>
      </c>
      <c r="AE583" s="16">
        <f t="shared" si="18"/>
        <v>900582</v>
      </c>
    </row>
    <row r="584" spans="1:31" ht="12.75" customHeight="1">
      <c r="A584" s="1" t="s">
        <v>649</v>
      </c>
      <c r="C584" s="1" t="s">
        <v>372</v>
      </c>
      <c r="E584" s="16">
        <v>111565</v>
      </c>
      <c r="G584" s="16">
        <v>0</v>
      </c>
      <c r="I584" s="16">
        <v>15905</v>
      </c>
      <c r="K584" s="16">
        <v>0</v>
      </c>
      <c r="M584" s="16">
        <v>0</v>
      </c>
      <c r="O584" s="16">
        <v>44095</v>
      </c>
      <c r="Q584" s="16">
        <v>52013</v>
      </c>
      <c r="S584" s="16">
        <v>0</v>
      </c>
      <c r="U584" s="16">
        <v>11349</v>
      </c>
      <c r="W584" s="16">
        <v>3857</v>
      </c>
      <c r="Y584" s="16">
        <v>1361</v>
      </c>
      <c r="AA584" s="16">
        <v>37499</v>
      </c>
      <c r="AC584" s="16">
        <v>0</v>
      </c>
      <c r="AE584" s="16">
        <f t="shared" si="18"/>
        <v>277644</v>
      </c>
    </row>
    <row r="585" spans="1:31" ht="12.75" customHeight="1">
      <c r="A585" s="1" t="s">
        <v>688</v>
      </c>
      <c r="C585" s="1" t="s">
        <v>184</v>
      </c>
      <c r="E585" s="16">
        <v>3193</v>
      </c>
      <c r="G585" s="16">
        <v>556</v>
      </c>
      <c r="I585" s="16">
        <v>182</v>
      </c>
      <c r="K585" s="16">
        <v>0</v>
      </c>
      <c r="M585" s="16">
        <v>0</v>
      </c>
      <c r="O585" s="16">
        <v>6240</v>
      </c>
      <c r="Q585" s="16">
        <v>31835</v>
      </c>
      <c r="S585" s="16">
        <v>0</v>
      </c>
      <c r="U585" s="16">
        <v>3652</v>
      </c>
      <c r="W585" s="16">
        <v>2348</v>
      </c>
      <c r="Y585" s="16">
        <v>6000</v>
      </c>
      <c r="AA585" s="16">
        <v>0</v>
      </c>
      <c r="AC585" s="16">
        <v>0</v>
      </c>
      <c r="AE585" s="16">
        <f t="shared" si="18"/>
        <v>54006</v>
      </c>
    </row>
    <row r="586" spans="1:31" ht="12.75" customHeight="1">
      <c r="A586" s="1" t="s">
        <v>397</v>
      </c>
      <c r="B586" s="1"/>
      <c r="C586" s="1" t="s">
        <v>73</v>
      </c>
      <c r="E586" s="16">
        <v>685240</v>
      </c>
      <c r="G586" s="16">
        <v>5146</v>
      </c>
      <c r="I586" s="16">
        <v>2862</v>
      </c>
      <c r="K586" s="16">
        <v>95851</v>
      </c>
      <c r="M586" s="16">
        <v>92634</v>
      </c>
      <c r="O586" s="16">
        <v>273365</v>
      </c>
      <c r="Q586" s="16">
        <v>316915</v>
      </c>
      <c r="S586" s="16">
        <v>0</v>
      </c>
      <c r="U586" s="16">
        <v>0</v>
      </c>
      <c r="W586" s="16">
        <v>0</v>
      </c>
      <c r="Y586" s="16">
        <v>0</v>
      </c>
      <c r="AA586" s="16">
        <v>0</v>
      </c>
      <c r="AC586" s="16">
        <v>521</v>
      </c>
      <c r="AE586" s="16">
        <f t="shared" si="18"/>
        <v>1472534</v>
      </c>
    </row>
    <row r="587" spans="1:31" ht="12.75" customHeight="1">
      <c r="A587" s="1" t="s">
        <v>398</v>
      </c>
      <c r="B587" s="1"/>
      <c r="C587" s="1" t="s">
        <v>179</v>
      </c>
      <c r="E587" s="16">
        <v>74537</v>
      </c>
      <c r="G587" s="16">
        <v>0</v>
      </c>
      <c r="I587" s="16">
        <v>5537</v>
      </c>
      <c r="K587" s="16">
        <v>2191</v>
      </c>
      <c r="M587" s="16">
        <v>5408</v>
      </c>
      <c r="O587" s="16">
        <v>69619</v>
      </c>
      <c r="Q587" s="16">
        <v>126177</v>
      </c>
      <c r="S587" s="16">
        <v>14</v>
      </c>
      <c r="U587" s="16">
        <v>222714</v>
      </c>
      <c r="W587" s="16">
        <v>67875</v>
      </c>
      <c r="Y587" s="16">
        <v>0</v>
      </c>
      <c r="AA587" s="16">
        <v>0</v>
      </c>
      <c r="AC587" s="16">
        <v>0</v>
      </c>
      <c r="AE587" s="16">
        <f t="shared" si="18"/>
        <v>574072</v>
      </c>
    </row>
    <row r="588" spans="1:31" ht="12.75" customHeight="1">
      <c r="A588" s="1" t="s">
        <v>536</v>
      </c>
      <c r="C588" s="1" t="s">
        <v>98</v>
      </c>
      <c r="E588" s="16">
        <v>42525</v>
      </c>
      <c r="G588" s="16">
        <v>2730</v>
      </c>
      <c r="I588" s="16">
        <v>0</v>
      </c>
      <c r="K588" s="16">
        <v>2528</v>
      </c>
      <c r="M588" s="16">
        <v>11954</v>
      </c>
      <c r="O588" s="16">
        <v>1735</v>
      </c>
      <c r="Q588" s="16">
        <v>46102</v>
      </c>
      <c r="S588" s="16">
        <v>137075</v>
      </c>
      <c r="U588" s="16">
        <v>13495</v>
      </c>
      <c r="W588" s="16">
        <v>5616</v>
      </c>
      <c r="Y588" s="16">
        <v>30150</v>
      </c>
      <c r="AA588" s="16">
        <v>0</v>
      </c>
      <c r="AC588" s="16">
        <v>0</v>
      </c>
      <c r="AE588" s="16">
        <f t="shared" si="18"/>
        <v>293910</v>
      </c>
    </row>
    <row r="589" spans="1:31" ht="12.75" customHeight="1">
      <c r="A589" s="1" t="s">
        <v>602</v>
      </c>
      <c r="C589" s="1" t="s">
        <v>69</v>
      </c>
      <c r="E589" s="16">
        <v>150413</v>
      </c>
      <c r="G589" s="16">
        <v>2025</v>
      </c>
      <c r="I589" s="16">
        <v>0</v>
      </c>
      <c r="K589" s="16">
        <v>0</v>
      </c>
      <c r="M589" s="16">
        <v>0</v>
      </c>
      <c r="O589" s="16">
        <v>43891</v>
      </c>
      <c r="Q589" s="16">
        <v>50904</v>
      </c>
      <c r="S589" s="16">
        <v>0</v>
      </c>
      <c r="U589" s="16">
        <v>2000</v>
      </c>
      <c r="W589" s="16">
        <v>2324</v>
      </c>
      <c r="Y589" s="16">
        <v>186</v>
      </c>
      <c r="AA589" s="16">
        <v>0</v>
      </c>
      <c r="AC589" s="16">
        <v>11860</v>
      </c>
      <c r="AE589" s="16">
        <f t="shared" si="18"/>
        <v>263603</v>
      </c>
    </row>
    <row r="590" spans="1:31" ht="12.75" customHeight="1">
      <c r="A590" s="1" t="s">
        <v>399</v>
      </c>
      <c r="B590" s="1"/>
      <c r="C590" s="1" t="s">
        <v>197</v>
      </c>
      <c r="E590" s="16">
        <v>199882</v>
      </c>
      <c r="G590" s="16">
        <v>4437</v>
      </c>
      <c r="I590" s="16">
        <v>13624</v>
      </c>
      <c r="K590" s="16">
        <v>0</v>
      </c>
      <c r="M590" s="16">
        <v>8905</v>
      </c>
      <c r="O590" s="16">
        <v>20689</v>
      </c>
      <c r="Q590" s="16">
        <v>103084</v>
      </c>
      <c r="S590" s="16">
        <v>0</v>
      </c>
      <c r="U590" s="16">
        <v>0</v>
      </c>
      <c r="W590" s="16">
        <v>0</v>
      </c>
      <c r="Y590" s="16">
        <v>0</v>
      </c>
      <c r="AA590" s="16">
        <v>0</v>
      </c>
      <c r="AC590" s="16">
        <v>0</v>
      </c>
      <c r="AE590" s="16">
        <f t="shared" si="18"/>
        <v>350621</v>
      </c>
    </row>
    <row r="591" spans="1:31" ht="12.75" customHeight="1">
      <c r="A591" s="1" t="s">
        <v>514</v>
      </c>
      <c r="C591" s="1" t="s">
        <v>160</v>
      </c>
      <c r="E591" s="16">
        <v>2618</v>
      </c>
      <c r="G591" s="16">
        <v>0</v>
      </c>
      <c r="I591" s="16">
        <v>0</v>
      </c>
      <c r="K591" s="16">
        <v>0</v>
      </c>
      <c r="M591" s="16">
        <v>0</v>
      </c>
      <c r="O591" s="16">
        <v>13947</v>
      </c>
      <c r="Q591" s="16">
        <v>7915</v>
      </c>
      <c r="S591" s="16">
        <v>0</v>
      </c>
      <c r="U591" s="16">
        <v>0</v>
      </c>
      <c r="W591" s="16">
        <v>0</v>
      </c>
      <c r="Y591" s="16">
        <v>0</v>
      </c>
      <c r="AA591" s="16">
        <v>0</v>
      </c>
      <c r="AC591" s="16">
        <v>592</v>
      </c>
      <c r="AE591" s="16">
        <f t="shared" si="18"/>
        <v>25072</v>
      </c>
    </row>
    <row r="592" spans="1:31" ht="12.75" customHeight="1">
      <c r="A592" s="1" t="s">
        <v>400</v>
      </c>
      <c r="B592" s="1"/>
      <c r="C592" s="1" t="s">
        <v>94</v>
      </c>
      <c r="E592" s="16">
        <v>22675</v>
      </c>
      <c r="G592" s="16">
        <v>252</v>
      </c>
      <c r="I592" s="16">
        <v>7730</v>
      </c>
      <c r="K592" s="16">
        <v>1480</v>
      </c>
      <c r="M592" s="16">
        <v>3947</v>
      </c>
      <c r="O592" s="16">
        <v>4356</v>
      </c>
      <c r="Q592" s="16">
        <v>44611</v>
      </c>
      <c r="S592" s="16">
        <v>0</v>
      </c>
      <c r="U592" s="16">
        <v>0</v>
      </c>
      <c r="W592" s="16">
        <v>0</v>
      </c>
      <c r="Y592" s="16">
        <v>42000</v>
      </c>
      <c r="AA592" s="16">
        <v>0</v>
      </c>
      <c r="AC592" s="16">
        <v>0</v>
      </c>
      <c r="AE592" s="16">
        <f t="shared" si="18"/>
        <v>127051</v>
      </c>
    </row>
    <row r="593" spans="1:31" ht="12.75" customHeight="1">
      <c r="A593" s="1" t="s">
        <v>491</v>
      </c>
      <c r="C593" s="1" t="s">
        <v>194</v>
      </c>
      <c r="E593" s="16">
        <v>38522</v>
      </c>
      <c r="G593" s="16">
        <v>3500</v>
      </c>
      <c r="I593" s="16">
        <v>0</v>
      </c>
      <c r="K593" s="16">
        <v>0</v>
      </c>
      <c r="M593" s="16">
        <v>0</v>
      </c>
      <c r="O593" s="16">
        <v>8964</v>
      </c>
      <c r="Q593" s="16">
        <v>29588</v>
      </c>
      <c r="S593" s="16">
        <v>0</v>
      </c>
      <c r="U593" s="16">
        <v>0</v>
      </c>
      <c r="W593" s="16">
        <v>0</v>
      </c>
      <c r="Y593" s="16">
        <v>0</v>
      </c>
      <c r="AA593" s="16">
        <v>0</v>
      </c>
      <c r="AC593" s="16">
        <v>0</v>
      </c>
      <c r="AE593" s="16">
        <f t="shared" si="18"/>
        <v>80574</v>
      </c>
    </row>
    <row r="594" spans="1:31" ht="12.75" customHeight="1">
      <c r="A594" s="1" t="s">
        <v>460</v>
      </c>
      <c r="C594" s="1" t="s">
        <v>71</v>
      </c>
      <c r="E594" s="16">
        <v>20328</v>
      </c>
      <c r="G594" s="16">
        <v>0</v>
      </c>
      <c r="I594" s="16">
        <v>0</v>
      </c>
      <c r="K594" s="16">
        <v>0</v>
      </c>
      <c r="M594" s="16">
        <v>7420</v>
      </c>
      <c r="O594" s="16">
        <v>21098</v>
      </c>
      <c r="Q594" s="16">
        <v>41462</v>
      </c>
      <c r="S594" s="16">
        <v>0</v>
      </c>
      <c r="U594" s="16">
        <v>1671</v>
      </c>
      <c r="W594" s="16">
        <v>563</v>
      </c>
      <c r="Y594" s="16">
        <v>0</v>
      </c>
      <c r="AA594" s="16">
        <v>0</v>
      </c>
      <c r="AC594" s="16">
        <v>0</v>
      </c>
      <c r="AE594" s="16">
        <f t="shared" si="18"/>
        <v>92542</v>
      </c>
    </row>
    <row r="595" spans="1:31" ht="12.75" customHeight="1">
      <c r="A595" s="1" t="s">
        <v>96</v>
      </c>
      <c r="C595" s="1" t="s">
        <v>96</v>
      </c>
      <c r="E595" s="16">
        <v>41064</v>
      </c>
      <c r="G595" s="16">
        <v>439</v>
      </c>
      <c r="I595" s="16">
        <v>28186</v>
      </c>
      <c r="K595" s="16">
        <v>5928</v>
      </c>
      <c r="M595" s="16">
        <v>30311</v>
      </c>
      <c r="O595" s="16">
        <v>67579</v>
      </c>
      <c r="Q595" s="16">
        <v>84575</v>
      </c>
      <c r="S595" s="16">
        <v>55064</v>
      </c>
      <c r="U595" s="16">
        <v>11353</v>
      </c>
      <c r="W595" s="16">
        <v>750</v>
      </c>
      <c r="Y595" s="16">
        <v>0</v>
      </c>
      <c r="AA595" s="16">
        <v>20000</v>
      </c>
      <c r="AC595" s="16">
        <v>784</v>
      </c>
      <c r="AE595" s="16">
        <f t="shared" si="18"/>
        <v>346033</v>
      </c>
    </row>
    <row r="596" spans="1:31" ht="12.75" customHeight="1">
      <c r="A596" s="1" t="s">
        <v>401</v>
      </c>
      <c r="B596" s="1"/>
      <c r="C596" s="1" t="s">
        <v>78</v>
      </c>
      <c r="E596" s="16">
        <v>745410</v>
      </c>
      <c r="G596" s="16">
        <v>9637</v>
      </c>
      <c r="I596" s="16">
        <v>11865</v>
      </c>
      <c r="K596" s="16">
        <v>542</v>
      </c>
      <c r="M596" s="16">
        <v>52536</v>
      </c>
      <c r="O596" s="16">
        <v>150741</v>
      </c>
      <c r="Q596" s="16">
        <v>339887</v>
      </c>
      <c r="S596" s="16">
        <v>307653</v>
      </c>
      <c r="U596" s="16">
        <v>92113</v>
      </c>
      <c r="W596" s="16">
        <v>13718</v>
      </c>
      <c r="Y596" s="16">
        <v>82895</v>
      </c>
      <c r="AA596" s="16">
        <v>963</v>
      </c>
      <c r="AC596" s="16">
        <v>0</v>
      </c>
      <c r="AE596" s="16">
        <f t="shared" si="18"/>
        <v>1807960</v>
      </c>
    </row>
    <row r="597" spans="1:31" ht="12.75" customHeight="1">
      <c r="A597" s="1" t="s">
        <v>747</v>
      </c>
      <c r="C597" s="1" t="s">
        <v>744</v>
      </c>
      <c r="E597" s="16">
        <v>2470</v>
      </c>
      <c r="G597" s="16">
        <v>0</v>
      </c>
      <c r="I597" s="16">
        <v>436</v>
      </c>
      <c r="K597" s="16">
        <v>0</v>
      </c>
      <c r="M597" s="16">
        <v>121</v>
      </c>
      <c r="O597" s="16">
        <v>4546</v>
      </c>
      <c r="Q597" s="16">
        <v>7627</v>
      </c>
      <c r="S597" s="16">
        <v>0</v>
      </c>
      <c r="U597" s="16">
        <v>0</v>
      </c>
      <c r="W597" s="16">
        <v>0</v>
      </c>
      <c r="Y597" s="16">
        <v>0</v>
      </c>
      <c r="AA597" s="16">
        <v>0</v>
      </c>
      <c r="AC597" s="16">
        <v>0</v>
      </c>
      <c r="AE597" s="16">
        <f t="shared" si="18"/>
        <v>15200</v>
      </c>
    </row>
    <row r="598" spans="1:31" ht="12.75" customHeight="1">
      <c r="A598" s="1" t="s">
        <v>463</v>
      </c>
      <c r="C598" s="1" t="s">
        <v>177</v>
      </c>
      <c r="E598" s="16">
        <v>19000</v>
      </c>
      <c r="G598" s="16">
        <v>0</v>
      </c>
      <c r="I598" s="16">
        <v>3336</v>
      </c>
      <c r="K598" s="16">
        <v>0</v>
      </c>
      <c r="M598" s="16">
        <v>20291</v>
      </c>
      <c r="O598" s="16">
        <v>3879</v>
      </c>
      <c r="Q598" s="16">
        <v>36577</v>
      </c>
      <c r="S598" s="16">
        <v>36252</v>
      </c>
      <c r="U598" s="16">
        <v>0</v>
      </c>
      <c r="W598" s="16">
        <v>0</v>
      </c>
      <c r="Y598" s="16">
        <v>0</v>
      </c>
      <c r="AA598" s="16">
        <v>0</v>
      </c>
      <c r="AC598" s="16">
        <v>0</v>
      </c>
      <c r="AE598" s="16">
        <f t="shared" si="18"/>
        <v>119335</v>
      </c>
    </row>
    <row r="599" spans="1:31" ht="12.75" customHeight="1">
      <c r="A599" s="1" t="s">
        <v>547</v>
      </c>
      <c r="C599" s="1" t="s">
        <v>149</v>
      </c>
      <c r="E599" s="16">
        <v>35844</v>
      </c>
      <c r="G599" s="16">
        <v>0</v>
      </c>
      <c r="I599" s="16">
        <v>18673</v>
      </c>
      <c r="K599" s="16">
        <v>13114</v>
      </c>
      <c r="M599" s="16">
        <v>0</v>
      </c>
      <c r="O599" s="16">
        <v>78374</v>
      </c>
      <c r="Q599" s="16">
        <v>239894</v>
      </c>
      <c r="S599" s="16">
        <v>0</v>
      </c>
      <c r="U599" s="16">
        <v>0</v>
      </c>
      <c r="W599" s="16">
        <v>0</v>
      </c>
      <c r="Y599" s="16">
        <v>50440</v>
      </c>
      <c r="AA599" s="16">
        <v>0</v>
      </c>
      <c r="AC599" s="16">
        <v>1025</v>
      </c>
      <c r="AE599" s="16">
        <f t="shared" si="18"/>
        <v>437364</v>
      </c>
    </row>
    <row r="600" spans="1:31" ht="12.75" customHeight="1">
      <c r="A600" s="1" t="s">
        <v>402</v>
      </c>
      <c r="B600" s="1"/>
      <c r="C600" s="1" t="s">
        <v>231</v>
      </c>
      <c r="E600" s="16">
        <v>578644</v>
      </c>
      <c r="G600" s="16">
        <v>7001</v>
      </c>
      <c r="I600" s="16">
        <v>346</v>
      </c>
      <c r="K600" s="16">
        <v>1320</v>
      </c>
      <c r="M600" s="16">
        <v>20598</v>
      </c>
      <c r="O600" s="16">
        <v>54344</v>
      </c>
      <c r="Q600" s="16">
        <v>241782</v>
      </c>
      <c r="S600" s="16">
        <v>0</v>
      </c>
      <c r="U600" s="16">
        <v>0</v>
      </c>
      <c r="W600" s="16">
        <v>0</v>
      </c>
      <c r="Y600" s="16">
        <v>307650</v>
      </c>
      <c r="AA600" s="16">
        <v>0</v>
      </c>
      <c r="AC600" s="16">
        <v>0</v>
      </c>
      <c r="AE600" s="16">
        <f t="shared" si="18"/>
        <v>1211685</v>
      </c>
    </row>
    <row r="601" spans="1:31" ht="12.75" customHeight="1">
      <c r="A601" s="1" t="s">
        <v>403</v>
      </c>
      <c r="B601" s="1"/>
      <c r="C601" s="1" t="s">
        <v>369</v>
      </c>
      <c r="E601" s="16">
        <v>0</v>
      </c>
      <c r="G601" s="16">
        <v>0</v>
      </c>
      <c r="I601" s="16">
        <v>0</v>
      </c>
      <c r="K601" s="16">
        <v>0</v>
      </c>
      <c r="M601" s="16">
        <v>0</v>
      </c>
      <c r="O601" s="16">
        <v>0</v>
      </c>
      <c r="Q601" s="16">
        <v>37679</v>
      </c>
      <c r="S601" s="16">
        <v>0</v>
      </c>
      <c r="U601" s="16">
        <v>10610</v>
      </c>
      <c r="W601" s="16">
        <v>0</v>
      </c>
      <c r="Y601" s="16">
        <v>0</v>
      </c>
      <c r="AA601" s="16">
        <v>0</v>
      </c>
      <c r="AC601" s="16">
        <v>0</v>
      </c>
      <c r="AE601" s="16">
        <f t="shared" si="18"/>
        <v>48289</v>
      </c>
    </row>
    <row r="602" spans="1:31" ht="12.75" customHeight="1">
      <c r="A602" s="1" t="s">
        <v>404</v>
      </c>
      <c r="B602" s="1"/>
      <c r="C602" s="1" t="s">
        <v>112</v>
      </c>
      <c r="E602" s="16">
        <v>3505552</v>
      </c>
      <c r="G602" s="16">
        <v>11945</v>
      </c>
      <c r="I602" s="16">
        <v>824419</v>
      </c>
      <c r="K602" s="16">
        <v>0</v>
      </c>
      <c r="M602" s="16">
        <v>167814</v>
      </c>
      <c r="O602" s="16">
        <v>800171</v>
      </c>
      <c r="Q602" s="16">
        <v>1555803</v>
      </c>
      <c r="S602" s="16">
        <v>2955775</v>
      </c>
      <c r="U602" s="16">
        <v>471000</v>
      </c>
      <c r="W602" s="16">
        <v>305149</v>
      </c>
      <c r="Y602" s="16">
        <v>3065009</v>
      </c>
      <c r="AA602" s="16">
        <v>0</v>
      </c>
      <c r="AC602" s="16">
        <v>86908</v>
      </c>
      <c r="AE602" s="16">
        <f t="shared" si="18"/>
        <v>13749545</v>
      </c>
    </row>
    <row r="603" spans="1:31" ht="12.75" customHeight="1">
      <c r="A603" s="1" t="s">
        <v>548</v>
      </c>
      <c r="C603" s="1" t="s">
        <v>149</v>
      </c>
      <c r="E603" s="16">
        <v>69604</v>
      </c>
      <c r="G603" s="16">
        <v>1548</v>
      </c>
      <c r="I603" s="16">
        <v>674</v>
      </c>
      <c r="K603" s="16">
        <v>0</v>
      </c>
      <c r="M603" s="16">
        <v>0</v>
      </c>
      <c r="O603" s="16">
        <v>5238</v>
      </c>
      <c r="Q603" s="16">
        <v>80478</v>
      </c>
      <c r="S603" s="16">
        <v>1839</v>
      </c>
      <c r="U603" s="16">
        <v>9830</v>
      </c>
      <c r="W603" s="16">
        <v>21839</v>
      </c>
      <c r="Y603" s="16">
        <v>0</v>
      </c>
      <c r="AA603" s="16">
        <v>0</v>
      </c>
      <c r="AC603" s="16">
        <v>0</v>
      </c>
      <c r="AE603" s="16">
        <f t="shared" si="18"/>
        <v>191050</v>
      </c>
    </row>
    <row r="604" spans="1:31" ht="12.75" customHeight="1">
      <c r="A604" s="1" t="s">
        <v>405</v>
      </c>
      <c r="B604" s="1"/>
      <c r="C604" s="1" t="s">
        <v>114</v>
      </c>
      <c r="E604" s="16">
        <v>16386</v>
      </c>
      <c r="G604" s="16">
        <v>1462</v>
      </c>
      <c r="I604" s="16">
        <v>478</v>
      </c>
      <c r="K604" s="16">
        <v>3340</v>
      </c>
      <c r="M604" s="16">
        <v>12363</v>
      </c>
      <c r="O604" s="16">
        <v>29278</v>
      </c>
      <c r="Q604" s="16">
        <v>20298</v>
      </c>
      <c r="S604" s="16">
        <v>2487702</v>
      </c>
      <c r="U604" s="16">
        <v>57866</v>
      </c>
      <c r="W604" s="16">
        <v>31679</v>
      </c>
      <c r="Y604" s="16">
        <v>15000</v>
      </c>
      <c r="AA604" s="16">
        <v>0</v>
      </c>
      <c r="AC604" s="16">
        <v>0</v>
      </c>
      <c r="AE604" s="16">
        <f t="shared" si="18"/>
        <v>2675852</v>
      </c>
    </row>
    <row r="605" spans="1:31" ht="12.75" customHeight="1">
      <c r="A605" s="1" t="s">
        <v>574</v>
      </c>
      <c r="C605" s="1" t="s">
        <v>114</v>
      </c>
      <c r="E605" s="16">
        <v>12229</v>
      </c>
      <c r="G605" s="16">
        <v>1486</v>
      </c>
      <c r="I605" s="16">
        <v>1631</v>
      </c>
      <c r="K605" s="16">
        <v>1559</v>
      </c>
      <c r="M605" s="16">
        <v>0</v>
      </c>
      <c r="O605" s="16">
        <v>18081</v>
      </c>
      <c r="Q605" s="16">
        <v>38480</v>
      </c>
      <c r="S605" s="16">
        <v>0</v>
      </c>
      <c r="U605" s="16">
        <v>520</v>
      </c>
      <c r="W605" s="16">
        <v>0</v>
      </c>
      <c r="Y605" s="16">
        <v>520</v>
      </c>
      <c r="AA605" s="16">
        <v>0</v>
      </c>
      <c r="AC605" s="16">
        <v>163</v>
      </c>
      <c r="AE605" s="16">
        <f t="shared" si="18"/>
        <v>74669</v>
      </c>
    </row>
    <row r="606" spans="1:31" ht="12.75" customHeight="1">
      <c r="A606" s="1" t="s">
        <v>750</v>
      </c>
      <c r="C606" s="1" t="s">
        <v>192</v>
      </c>
      <c r="E606" s="16">
        <v>2309</v>
      </c>
      <c r="G606" s="16">
        <v>2271</v>
      </c>
      <c r="I606" s="16">
        <v>4248</v>
      </c>
      <c r="K606" s="16">
        <v>4</v>
      </c>
      <c r="M606" s="16">
        <v>0</v>
      </c>
      <c r="O606" s="16">
        <v>6707</v>
      </c>
      <c r="Q606" s="16">
        <v>10768</v>
      </c>
      <c r="S606" s="16">
        <v>0</v>
      </c>
      <c r="U606" s="16">
        <v>0</v>
      </c>
      <c r="W606" s="16">
        <v>0</v>
      </c>
      <c r="Y606" s="16">
        <v>0</v>
      </c>
      <c r="AA606" s="16">
        <v>0</v>
      </c>
      <c r="AC606" s="16">
        <v>0</v>
      </c>
      <c r="AE606" s="16">
        <f t="shared" si="18"/>
        <v>26307</v>
      </c>
    </row>
    <row r="607" spans="1:31" ht="12.75" customHeight="1">
      <c r="A607" s="1" t="s">
        <v>406</v>
      </c>
      <c r="B607" s="1"/>
      <c r="C607" s="1" t="s">
        <v>225</v>
      </c>
      <c r="E607" s="16">
        <v>103096</v>
      </c>
      <c r="G607" s="16">
        <v>0</v>
      </c>
      <c r="I607" s="16">
        <v>7225</v>
      </c>
      <c r="K607" s="16">
        <v>691</v>
      </c>
      <c r="M607" s="16">
        <v>0</v>
      </c>
      <c r="O607" s="16">
        <v>30332</v>
      </c>
      <c r="Q607" s="16">
        <v>45187</v>
      </c>
      <c r="S607" s="16">
        <v>0</v>
      </c>
      <c r="U607" s="16">
        <v>0</v>
      </c>
      <c r="W607" s="16">
        <v>0</v>
      </c>
      <c r="Y607" s="16">
        <v>0</v>
      </c>
      <c r="AA607" s="16">
        <v>0</v>
      </c>
      <c r="AC607" s="16">
        <v>0</v>
      </c>
      <c r="AE607" s="16">
        <f aca="true" t="shared" si="19" ref="AE607:AE636">SUM(E607:AC607)</f>
        <v>186531</v>
      </c>
    </row>
    <row r="608" spans="1:31" ht="12.75" customHeight="1">
      <c r="A608" s="1" t="s">
        <v>407</v>
      </c>
      <c r="B608" s="1"/>
      <c r="C608" s="1" t="s">
        <v>78</v>
      </c>
      <c r="E608" s="16">
        <v>454359</v>
      </c>
      <c r="G608" s="16">
        <v>36105</v>
      </c>
      <c r="I608" s="16">
        <v>55523</v>
      </c>
      <c r="K608" s="16">
        <v>8997</v>
      </c>
      <c r="M608" s="16">
        <v>192060</v>
      </c>
      <c r="O608" s="16">
        <v>1627746</v>
      </c>
      <c r="Q608" s="16">
        <v>405196</v>
      </c>
      <c r="S608" s="16">
        <v>2483186</v>
      </c>
      <c r="U608" s="16">
        <v>15798</v>
      </c>
      <c r="W608" s="16">
        <v>15147</v>
      </c>
      <c r="Y608" s="16">
        <v>1202365</v>
      </c>
      <c r="AA608" s="16">
        <v>0</v>
      </c>
      <c r="AC608" s="16">
        <v>0</v>
      </c>
      <c r="AE608" s="16">
        <f t="shared" si="19"/>
        <v>6496482</v>
      </c>
    </row>
    <row r="609" spans="1:31" ht="12.75" customHeight="1">
      <c r="A609" s="1" t="s">
        <v>236</v>
      </c>
      <c r="C609" s="1" t="s">
        <v>210</v>
      </c>
      <c r="E609" s="16">
        <v>31306</v>
      </c>
      <c r="G609" s="16">
        <v>4160</v>
      </c>
      <c r="I609" s="16">
        <v>53524</v>
      </c>
      <c r="K609" s="16">
        <v>9456</v>
      </c>
      <c r="M609" s="16">
        <v>1640</v>
      </c>
      <c r="O609" s="16">
        <v>17791</v>
      </c>
      <c r="Q609" s="16">
        <v>51444</v>
      </c>
      <c r="S609" s="16">
        <v>2664</v>
      </c>
      <c r="U609" s="16">
        <v>0</v>
      </c>
      <c r="W609" s="16">
        <v>0</v>
      </c>
      <c r="Y609" s="16">
        <v>0</v>
      </c>
      <c r="AA609" s="16">
        <v>0</v>
      </c>
      <c r="AC609" s="16">
        <v>0</v>
      </c>
      <c r="AE609" s="16">
        <f t="shared" si="19"/>
        <v>171985</v>
      </c>
    </row>
    <row r="610" spans="1:31" ht="12.75" customHeight="1">
      <c r="A610" s="1" t="s">
        <v>408</v>
      </c>
      <c r="B610" s="1"/>
      <c r="C610" s="1" t="s">
        <v>197</v>
      </c>
      <c r="E610" s="16">
        <v>512706</v>
      </c>
      <c r="G610" s="16">
        <v>10338</v>
      </c>
      <c r="I610" s="16">
        <v>0</v>
      </c>
      <c r="K610" s="16">
        <v>8568</v>
      </c>
      <c r="M610" s="16">
        <v>31283</v>
      </c>
      <c r="O610" s="16">
        <v>362544</v>
      </c>
      <c r="Q610" s="16">
        <v>198148</v>
      </c>
      <c r="S610" s="16">
        <v>20975</v>
      </c>
      <c r="U610" s="16">
        <v>0</v>
      </c>
      <c r="W610" s="16">
        <v>0</v>
      </c>
      <c r="Y610" s="16">
        <v>167500</v>
      </c>
      <c r="AA610" s="16">
        <v>0</v>
      </c>
      <c r="AC610" s="16">
        <v>0</v>
      </c>
      <c r="AE610" s="16">
        <f t="shared" si="19"/>
        <v>1312062</v>
      </c>
    </row>
    <row r="611" spans="1:31" ht="12.75" customHeight="1">
      <c r="A611" s="1" t="s">
        <v>776</v>
      </c>
      <c r="C611" s="1" t="s">
        <v>94</v>
      </c>
      <c r="E611" s="16">
        <v>449261</v>
      </c>
      <c r="G611" s="16">
        <v>3304</v>
      </c>
      <c r="I611" s="16">
        <v>94988</v>
      </c>
      <c r="K611" s="16">
        <v>3542</v>
      </c>
      <c r="M611" s="16">
        <v>0</v>
      </c>
      <c r="O611" s="16">
        <v>227118</v>
      </c>
      <c r="Q611" s="16">
        <v>459591</v>
      </c>
      <c r="S611" s="16">
        <v>157065</v>
      </c>
      <c r="U611" s="16">
        <v>0</v>
      </c>
      <c r="W611" s="16">
        <v>12873</v>
      </c>
      <c r="Y611" s="16">
        <v>0</v>
      </c>
      <c r="AA611" s="16">
        <v>0</v>
      </c>
      <c r="AC611" s="16">
        <v>0</v>
      </c>
      <c r="AE611" s="16">
        <f t="shared" si="19"/>
        <v>1407742</v>
      </c>
    </row>
    <row r="612" spans="1:31" ht="12.75" customHeight="1">
      <c r="A612" s="1" t="s">
        <v>640</v>
      </c>
      <c r="C612" s="1" t="s">
        <v>268</v>
      </c>
      <c r="E612" s="16">
        <v>5438</v>
      </c>
      <c r="G612" s="16">
        <v>1514</v>
      </c>
      <c r="I612" s="16">
        <v>0</v>
      </c>
      <c r="K612" s="16">
        <v>1798</v>
      </c>
      <c r="M612" s="16">
        <v>1000</v>
      </c>
      <c r="O612" s="16">
        <v>29659</v>
      </c>
      <c r="Q612" s="16">
        <v>22902</v>
      </c>
      <c r="S612" s="16">
        <v>0</v>
      </c>
      <c r="U612" s="16">
        <v>0</v>
      </c>
      <c r="W612" s="16">
        <v>0</v>
      </c>
      <c r="Y612" s="16">
        <v>0</v>
      </c>
      <c r="AA612" s="16">
        <v>0</v>
      </c>
      <c r="AC612" s="16">
        <v>0</v>
      </c>
      <c r="AE612" s="16">
        <f t="shared" si="19"/>
        <v>62311</v>
      </c>
    </row>
    <row r="613" spans="1:31" ht="12.75" customHeight="1">
      <c r="A613" s="1" t="s">
        <v>519</v>
      </c>
      <c r="C613" s="1" t="s">
        <v>112</v>
      </c>
      <c r="E613" s="16">
        <v>2121588</v>
      </c>
      <c r="G613" s="16">
        <v>10398</v>
      </c>
      <c r="I613" s="16">
        <v>182138</v>
      </c>
      <c r="K613" s="16">
        <v>99901</v>
      </c>
      <c r="M613" s="16">
        <v>426827</v>
      </c>
      <c r="O613" s="16">
        <v>920895</v>
      </c>
      <c r="Q613" s="16">
        <v>792172</v>
      </c>
      <c r="S613" s="16">
        <v>1488228</v>
      </c>
      <c r="U613" s="16">
        <v>2300000</v>
      </c>
      <c r="W613" s="16">
        <v>31128</v>
      </c>
      <c r="Y613" s="16">
        <v>92800</v>
      </c>
      <c r="AA613" s="16">
        <v>35000</v>
      </c>
      <c r="AC613" s="16">
        <v>0</v>
      </c>
      <c r="AE613" s="16">
        <f t="shared" si="19"/>
        <v>8501075</v>
      </c>
    </row>
    <row r="614" spans="1:31" ht="12.75" customHeight="1">
      <c r="A614" s="1" t="s">
        <v>512</v>
      </c>
      <c r="C614" s="1" t="s">
        <v>170</v>
      </c>
      <c r="E614" s="16">
        <v>37266</v>
      </c>
      <c r="G614" s="16">
        <v>29340</v>
      </c>
      <c r="I614" s="16">
        <v>76130</v>
      </c>
      <c r="K614" s="16">
        <v>1000</v>
      </c>
      <c r="M614" s="16">
        <v>700</v>
      </c>
      <c r="O614" s="16">
        <v>42223</v>
      </c>
      <c r="Q614" s="16">
        <v>64113</v>
      </c>
      <c r="S614" s="16">
        <v>416</v>
      </c>
      <c r="U614" s="16">
        <v>0</v>
      </c>
      <c r="W614" s="16">
        <v>2775</v>
      </c>
      <c r="Y614" s="16">
        <v>1056</v>
      </c>
      <c r="AA614" s="16">
        <v>250</v>
      </c>
      <c r="AC614" s="16">
        <v>23326</v>
      </c>
      <c r="AE614" s="16">
        <f t="shared" si="19"/>
        <v>278595</v>
      </c>
    </row>
    <row r="615" spans="1:31" ht="12.75" customHeight="1">
      <c r="A615" s="1" t="s">
        <v>511</v>
      </c>
      <c r="C615" s="1" t="s">
        <v>414</v>
      </c>
      <c r="E615" s="16">
        <v>61247</v>
      </c>
      <c r="G615" s="16">
        <v>392</v>
      </c>
      <c r="I615" s="16">
        <v>0</v>
      </c>
      <c r="K615" s="16">
        <v>0</v>
      </c>
      <c r="M615" s="16">
        <v>0</v>
      </c>
      <c r="O615" s="16">
        <v>8755</v>
      </c>
      <c r="Q615" s="16">
        <v>68827</v>
      </c>
      <c r="S615" s="16">
        <v>9584</v>
      </c>
      <c r="U615" s="16">
        <v>3907</v>
      </c>
      <c r="W615" s="16">
        <v>363</v>
      </c>
      <c r="Y615" s="16">
        <v>0</v>
      </c>
      <c r="AA615" s="16">
        <v>0</v>
      </c>
      <c r="AC615" s="16">
        <v>438</v>
      </c>
      <c r="AE615" s="16">
        <f t="shared" si="19"/>
        <v>153513</v>
      </c>
    </row>
    <row r="616" spans="1:31" ht="12.75" customHeight="1">
      <c r="A616" s="1" t="s">
        <v>409</v>
      </c>
      <c r="B616" s="1"/>
      <c r="C616" s="1" t="s">
        <v>250</v>
      </c>
      <c r="E616" s="16">
        <v>1592528</v>
      </c>
      <c r="G616" s="16">
        <v>19711</v>
      </c>
      <c r="I616" s="16">
        <v>49714</v>
      </c>
      <c r="K616" s="16">
        <v>42370</v>
      </c>
      <c r="M616" s="16">
        <v>181247</v>
      </c>
      <c r="O616" s="16">
        <v>242984</v>
      </c>
      <c r="Q616" s="16">
        <v>993036</v>
      </c>
      <c r="S616" s="16">
        <v>1038365</v>
      </c>
      <c r="U616" s="16">
        <v>233295</v>
      </c>
      <c r="W616" s="16">
        <v>0</v>
      </c>
      <c r="Y616" s="16">
        <v>705688</v>
      </c>
      <c r="AA616" s="16">
        <v>58000</v>
      </c>
      <c r="AC616" s="16">
        <v>0</v>
      </c>
      <c r="AE616" s="16">
        <f t="shared" si="19"/>
        <v>5156938</v>
      </c>
    </row>
    <row r="617" spans="1:31" ht="12.75" customHeight="1">
      <c r="A617" s="1" t="s">
        <v>410</v>
      </c>
      <c r="B617" s="1"/>
      <c r="C617" s="1" t="s">
        <v>78</v>
      </c>
      <c r="E617" s="16">
        <v>137</v>
      </c>
      <c r="G617" s="16">
        <v>2828</v>
      </c>
      <c r="I617" s="16">
        <v>26540</v>
      </c>
      <c r="K617" s="16">
        <v>45553</v>
      </c>
      <c r="M617" s="16">
        <v>5040</v>
      </c>
      <c r="O617" s="16">
        <v>17745</v>
      </c>
      <c r="Q617" s="16">
        <v>26931</v>
      </c>
      <c r="S617" s="16">
        <v>0</v>
      </c>
      <c r="U617" s="16">
        <v>45308</v>
      </c>
      <c r="W617" s="16">
        <v>25388</v>
      </c>
      <c r="Y617" s="16">
        <v>0</v>
      </c>
      <c r="AA617" s="16">
        <v>0</v>
      </c>
      <c r="AC617" s="16">
        <v>0</v>
      </c>
      <c r="AE617" s="16">
        <f t="shared" si="19"/>
        <v>195470</v>
      </c>
    </row>
    <row r="618" spans="1:31" ht="12.75" customHeight="1">
      <c r="A618" s="1" t="s">
        <v>411</v>
      </c>
      <c r="B618" s="1"/>
      <c r="C618" s="1" t="s">
        <v>106</v>
      </c>
      <c r="E618" s="16">
        <v>117627</v>
      </c>
      <c r="G618" s="16">
        <v>0</v>
      </c>
      <c r="I618" s="16">
        <v>0</v>
      </c>
      <c r="K618" s="16">
        <v>0</v>
      </c>
      <c r="M618" s="16">
        <v>0</v>
      </c>
      <c r="O618" s="16">
        <v>11818</v>
      </c>
      <c r="Q618" s="16">
        <v>161180</v>
      </c>
      <c r="S618" s="16">
        <v>22305</v>
      </c>
      <c r="U618" s="16">
        <v>15416</v>
      </c>
      <c r="W618" s="16">
        <v>6308</v>
      </c>
      <c r="Y618" s="16">
        <v>0</v>
      </c>
      <c r="AA618" s="16">
        <v>10000</v>
      </c>
      <c r="AC618" s="16">
        <v>0</v>
      </c>
      <c r="AE618" s="16">
        <f t="shared" si="19"/>
        <v>344654</v>
      </c>
    </row>
    <row r="619" spans="1:31" ht="12.75" customHeight="1">
      <c r="A619" s="1" t="s">
        <v>464</v>
      </c>
      <c r="C619" s="1" t="s">
        <v>177</v>
      </c>
      <c r="E619" s="16">
        <v>48341</v>
      </c>
      <c r="G619" s="16">
        <v>457</v>
      </c>
      <c r="I619" s="16">
        <v>10456</v>
      </c>
      <c r="K619" s="16">
        <v>0</v>
      </c>
      <c r="M619" s="16">
        <v>0</v>
      </c>
      <c r="O619" s="16">
        <v>36622</v>
      </c>
      <c r="Q619" s="16">
        <v>88585</v>
      </c>
      <c r="S619" s="16">
        <v>3000</v>
      </c>
      <c r="U619" s="16">
        <v>0</v>
      </c>
      <c r="W619" s="16">
        <v>0</v>
      </c>
      <c r="Y619" s="16">
        <v>29054</v>
      </c>
      <c r="AA619" s="16">
        <v>0</v>
      </c>
      <c r="AC619" s="16">
        <v>0</v>
      </c>
      <c r="AE619" s="16">
        <f t="shared" si="19"/>
        <v>216515</v>
      </c>
    </row>
    <row r="620" spans="1:31" ht="12.75" customHeight="1">
      <c r="A620" s="1" t="s">
        <v>412</v>
      </c>
      <c r="B620" s="1"/>
      <c r="C620" s="1" t="s">
        <v>228</v>
      </c>
      <c r="E620" s="16">
        <v>778238</v>
      </c>
      <c r="G620" s="16">
        <v>10471</v>
      </c>
      <c r="I620" s="16">
        <v>48688</v>
      </c>
      <c r="K620" s="16">
        <v>139817</v>
      </c>
      <c r="M620" s="16">
        <v>0</v>
      </c>
      <c r="O620" s="16">
        <v>1803309</v>
      </c>
      <c r="Q620" s="16">
        <v>445860</v>
      </c>
      <c r="S620" s="16">
        <v>0</v>
      </c>
      <c r="U620" s="16">
        <v>61272</v>
      </c>
      <c r="W620" s="16">
        <v>25976</v>
      </c>
      <c r="Y620" s="16">
        <v>170000</v>
      </c>
      <c r="AA620" s="16">
        <v>480000</v>
      </c>
      <c r="AC620" s="16">
        <v>0</v>
      </c>
      <c r="AE620" s="16">
        <f t="shared" si="19"/>
        <v>3963631</v>
      </c>
    </row>
    <row r="621" spans="1:31" ht="12.75" customHeight="1">
      <c r="A621" s="1" t="s">
        <v>413</v>
      </c>
      <c r="B621" s="1"/>
      <c r="C621" s="1" t="s">
        <v>414</v>
      </c>
      <c r="E621" s="16">
        <v>654655</v>
      </c>
      <c r="G621" s="16">
        <v>63983</v>
      </c>
      <c r="I621" s="16">
        <v>13349</v>
      </c>
      <c r="K621" s="16">
        <v>42516</v>
      </c>
      <c r="M621" s="16">
        <v>0</v>
      </c>
      <c r="O621" s="16">
        <v>173938</v>
      </c>
      <c r="Q621" s="16">
        <v>348239</v>
      </c>
      <c r="S621" s="16">
        <v>0</v>
      </c>
      <c r="U621" s="16">
        <v>0</v>
      </c>
      <c r="W621" s="16">
        <v>0</v>
      </c>
      <c r="Y621" s="16">
        <v>171627</v>
      </c>
      <c r="AA621" s="16">
        <v>0</v>
      </c>
      <c r="AC621" s="16">
        <v>0</v>
      </c>
      <c r="AE621" s="16">
        <f t="shared" si="19"/>
        <v>1468307</v>
      </c>
    </row>
    <row r="622" spans="1:31" ht="12.75" customHeight="1">
      <c r="A622" s="1" t="s">
        <v>413</v>
      </c>
      <c r="C622" s="1" t="s">
        <v>414</v>
      </c>
      <c r="E622" s="16">
        <v>654206</v>
      </c>
      <c r="G622" s="16">
        <v>63983</v>
      </c>
      <c r="I622" s="16">
        <v>13349</v>
      </c>
      <c r="K622" s="16">
        <v>42516</v>
      </c>
      <c r="M622" s="16">
        <v>0</v>
      </c>
      <c r="O622" s="16">
        <v>144413</v>
      </c>
      <c r="Q622" s="16">
        <v>336920</v>
      </c>
      <c r="S622" s="16">
        <v>36004</v>
      </c>
      <c r="U622" s="16">
        <v>12769</v>
      </c>
      <c r="W622" s="16">
        <v>0</v>
      </c>
      <c r="Y622" s="16">
        <v>169998</v>
      </c>
      <c r="AA622" s="16">
        <v>54416</v>
      </c>
      <c r="AC622" s="16">
        <v>5265</v>
      </c>
      <c r="AE622" s="16">
        <f t="shared" si="19"/>
        <v>1533839</v>
      </c>
    </row>
    <row r="623" spans="1:31" ht="12.75" customHeight="1">
      <c r="A623" s="1" t="s">
        <v>415</v>
      </c>
      <c r="B623" s="1"/>
      <c r="C623" s="1" t="s">
        <v>225</v>
      </c>
      <c r="E623" s="16">
        <v>446492</v>
      </c>
      <c r="G623" s="16">
        <v>3438</v>
      </c>
      <c r="I623" s="16">
        <v>24526</v>
      </c>
      <c r="K623" s="16">
        <v>3911</v>
      </c>
      <c r="M623" s="16">
        <v>2216</v>
      </c>
      <c r="O623" s="16">
        <v>71369</v>
      </c>
      <c r="Q623" s="16">
        <v>117379</v>
      </c>
      <c r="S623" s="16">
        <v>310644</v>
      </c>
      <c r="U623" s="16">
        <v>15439</v>
      </c>
      <c r="W623" s="16">
        <v>2349</v>
      </c>
      <c r="Y623" s="16">
        <v>0</v>
      </c>
      <c r="AA623" s="16">
        <v>0</v>
      </c>
      <c r="AC623" s="16">
        <v>0</v>
      </c>
      <c r="AE623" s="16">
        <f t="shared" si="19"/>
        <v>997763</v>
      </c>
    </row>
    <row r="624" spans="1:31" ht="12.75" customHeight="1">
      <c r="A624" s="1" t="s">
        <v>700</v>
      </c>
      <c r="C624" s="1" t="s">
        <v>225</v>
      </c>
      <c r="E624" s="16">
        <v>17828</v>
      </c>
      <c r="G624" s="16">
        <v>0</v>
      </c>
      <c r="I624" s="16">
        <v>314</v>
      </c>
      <c r="K624" s="16">
        <v>0</v>
      </c>
      <c r="M624" s="16">
        <v>0</v>
      </c>
      <c r="O624" s="16">
        <v>3557</v>
      </c>
      <c r="Q624" s="16">
        <v>27874</v>
      </c>
      <c r="S624" s="16">
        <v>50</v>
      </c>
      <c r="U624" s="16">
        <v>6327</v>
      </c>
      <c r="W624" s="16">
        <v>4414</v>
      </c>
      <c r="Y624" s="16">
        <v>0</v>
      </c>
      <c r="AA624" s="16">
        <v>0</v>
      </c>
      <c r="AC624" s="16">
        <v>783</v>
      </c>
      <c r="AE624" s="16">
        <f t="shared" si="19"/>
        <v>61147</v>
      </c>
    </row>
    <row r="625" spans="1:31" ht="12.75" customHeight="1">
      <c r="A625" s="1" t="s">
        <v>736</v>
      </c>
      <c r="C625" s="1" t="s">
        <v>276</v>
      </c>
      <c r="E625" s="16">
        <v>16815</v>
      </c>
      <c r="G625" s="16">
        <v>0</v>
      </c>
      <c r="I625" s="16">
        <v>10582</v>
      </c>
      <c r="K625" s="16">
        <v>0</v>
      </c>
      <c r="M625" s="16">
        <v>0</v>
      </c>
      <c r="O625" s="16">
        <v>21606</v>
      </c>
      <c r="Q625" s="16">
        <v>41886</v>
      </c>
      <c r="S625" s="16">
        <v>1383</v>
      </c>
      <c r="U625" s="16">
        <v>0</v>
      </c>
      <c r="W625" s="16">
        <v>0</v>
      </c>
      <c r="Y625" s="16">
        <v>23168</v>
      </c>
      <c r="AA625" s="16">
        <v>7470</v>
      </c>
      <c r="AC625" s="16">
        <v>0</v>
      </c>
      <c r="AE625" s="16">
        <f t="shared" si="19"/>
        <v>122910</v>
      </c>
    </row>
    <row r="626" spans="1:31" ht="12.75" customHeight="1">
      <c r="A626" s="1" t="s">
        <v>416</v>
      </c>
      <c r="B626" s="1"/>
      <c r="C626" s="1" t="s">
        <v>293</v>
      </c>
      <c r="E626" s="16">
        <v>888174</v>
      </c>
      <c r="G626" s="16">
        <v>0</v>
      </c>
      <c r="I626" s="16">
        <v>32195</v>
      </c>
      <c r="K626" s="16">
        <v>51975</v>
      </c>
      <c r="M626" s="16">
        <v>0</v>
      </c>
      <c r="O626" s="16">
        <v>256146</v>
      </c>
      <c r="Q626" s="16">
        <v>492632</v>
      </c>
      <c r="S626" s="16">
        <v>1795853</v>
      </c>
      <c r="U626" s="16">
        <v>234554</v>
      </c>
      <c r="W626" s="16">
        <v>0</v>
      </c>
      <c r="Y626" s="16">
        <v>234555</v>
      </c>
      <c r="AA626" s="16">
        <v>0</v>
      </c>
      <c r="AC626" s="16">
        <v>0</v>
      </c>
      <c r="AE626" s="16">
        <f t="shared" si="19"/>
        <v>3986084</v>
      </c>
    </row>
    <row r="627" spans="1:31" ht="12.75" customHeight="1">
      <c r="A627" s="1" t="s">
        <v>417</v>
      </c>
      <c r="B627" s="1"/>
      <c r="C627" s="1" t="s">
        <v>170</v>
      </c>
      <c r="E627" s="16">
        <v>353246</v>
      </c>
      <c r="G627" s="16">
        <v>3142</v>
      </c>
      <c r="I627" s="16">
        <v>2426</v>
      </c>
      <c r="K627" s="16">
        <v>0</v>
      </c>
      <c r="M627" s="16">
        <v>0</v>
      </c>
      <c r="O627" s="16">
        <v>94639</v>
      </c>
      <c r="Q627" s="16">
        <v>117667</v>
      </c>
      <c r="S627" s="16">
        <v>581911</v>
      </c>
      <c r="U627" s="16">
        <v>29000</v>
      </c>
      <c r="W627" s="16">
        <v>3835</v>
      </c>
      <c r="Y627" s="16">
        <v>0</v>
      </c>
      <c r="AA627" s="16">
        <v>0</v>
      </c>
      <c r="AC627" s="16">
        <v>0</v>
      </c>
      <c r="AE627" s="16">
        <f t="shared" si="19"/>
        <v>1185866</v>
      </c>
    </row>
    <row r="628" spans="1:31" ht="12.75" customHeight="1">
      <c r="A628" s="1" t="s">
        <v>418</v>
      </c>
      <c r="B628" s="1"/>
      <c r="C628" s="1" t="s">
        <v>110</v>
      </c>
      <c r="E628" s="16">
        <v>15787</v>
      </c>
      <c r="G628" s="16">
        <v>0</v>
      </c>
      <c r="I628" s="16">
        <v>1583</v>
      </c>
      <c r="K628" s="16">
        <v>0</v>
      </c>
      <c r="M628" s="16">
        <v>3585</v>
      </c>
      <c r="O628" s="16">
        <v>4467</v>
      </c>
      <c r="Q628" s="16">
        <v>40384</v>
      </c>
      <c r="S628" s="16">
        <v>313353</v>
      </c>
      <c r="U628" s="16">
        <v>291138</v>
      </c>
      <c r="W628" s="16">
        <v>96</v>
      </c>
      <c r="Y628" s="16">
        <v>0</v>
      </c>
      <c r="AA628" s="16">
        <v>0</v>
      </c>
      <c r="AC628" s="16">
        <v>0</v>
      </c>
      <c r="AE628" s="16">
        <f t="shared" si="19"/>
        <v>670393</v>
      </c>
    </row>
    <row r="629" spans="1:31" ht="12.75" customHeight="1">
      <c r="A629" s="1" t="s">
        <v>622</v>
      </c>
      <c r="C629" s="1" t="s">
        <v>369</v>
      </c>
      <c r="E629" s="16">
        <v>373831</v>
      </c>
      <c r="G629" s="16">
        <v>144254</v>
      </c>
      <c r="I629" s="16">
        <v>10941</v>
      </c>
      <c r="K629" s="16">
        <v>1748</v>
      </c>
      <c r="M629" s="16">
        <v>0</v>
      </c>
      <c r="O629" s="16">
        <v>103156</v>
      </c>
      <c r="Q629" s="16">
        <v>107345</v>
      </c>
      <c r="S629" s="16">
        <v>0</v>
      </c>
      <c r="U629" s="16">
        <v>0</v>
      </c>
      <c r="W629" s="16">
        <v>0</v>
      </c>
      <c r="Y629" s="16">
        <v>35418</v>
      </c>
      <c r="AA629" s="16">
        <v>4155</v>
      </c>
      <c r="AC629" s="16">
        <v>53171</v>
      </c>
      <c r="AE629" s="16">
        <f t="shared" si="19"/>
        <v>834019</v>
      </c>
    </row>
    <row r="630" spans="1:31" ht="12.75" customHeight="1">
      <c r="A630" s="1" t="s">
        <v>419</v>
      </c>
      <c r="B630" s="1"/>
      <c r="C630" s="1" t="s">
        <v>225</v>
      </c>
      <c r="E630" s="16">
        <v>46502</v>
      </c>
      <c r="G630" s="16">
        <v>877</v>
      </c>
      <c r="I630" s="16">
        <v>0</v>
      </c>
      <c r="K630" s="16">
        <v>718</v>
      </c>
      <c r="M630" s="16">
        <v>18504</v>
      </c>
      <c r="O630" s="16">
        <v>26639</v>
      </c>
      <c r="Q630" s="16">
        <v>41288.79</v>
      </c>
      <c r="S630" s="16">
        <v>596073</v>
      </c>
      <c r="U630" s="16">
        <v>0</v>
      </c>
      <c r="W630" s="16">
        <v>123243</v>
      </c>
      <c r="Y630" s="16">
        <v>0</v>
      </c>
      <c r="AA630" s="16">
        <v>0</v>
      </c>
      <c r="AC630" s="16">
        <v>0</v>
      </c>
      <c r="AE630" s="16">
        <f t="shared" si="19"/>
        <v>853844.79</v>
      </c>
    </row>
    <row r="631" spans="1:31" ht="12.75" customHeight="1">
      <c r="A631" s="1" t="s">
        <v>777</v>
      </c>
      <c r="C631" s="1" t="s">
        <v>94</v>
      </c>
      <c r="E631" s="16">
        <v>40291</v>
      </c>
      <c r="G631" s="16">
        <v>143</v>
      </c>
      <c r="I631" s="16">
        <v>9</v>
      </c>
      <c r="K631" s="16">
        <v>0</v>
      </c>
      <c r="M631" s="16">
        <v>25</v>
      </c>
      <c r="O631" s="16">
        <v>791</v>
      </c>
      <c r="Q631" s="16">
        <v>30254</v>
      </c>
      <c r="S631" s="16">
        <v>5123</v>
      </c>
      <c r="U631" s="16">
        <v>0</v>
      </c>
      <c r="W631" s="16">
        <v>0</v>
      </c>
      <c r="Y631" s="16">
        <v>0</v>
      </c>
      <c r="AA631" s="16">
        <v>0</v>
      </c>
      <c r="AC631" s="16">
        <v>43</v>
      </c>
      <c r="AE631" s="16">
        <f t="shared" si="19"/>
        <v>76679</v>
      </c>
    </row>
    <row r="632" spans="1:31" ht="12.75" customHeight="1">
      <c r="A632" s="1" t="s">
        <v>420</v>
      </c>
      <c r="B632" s="1"/>
      <c r="C632" s="1" t="s">
        <v>155</v>
      </c>
      <c r="E632" s="16">
        <v>714821</v>
      </c>
      <c r="G632" s="16">
        <v>2880</v>
      </c>
      <c r="I632" s="16">
        <v>28128</v>
      </c>
      <c r="K632" s="16">
        <v>14275</v>
      </c>
      <c r="M632" s="16">
        <v>0</v>
      </c>
      <c r="O632" s="16">
        <v>177539</v>
      </c>
      <c r="Q632" s="16">
        <v>385150</v>
      </c>
      <c r="S632" s="16">
        <v>382062</v>
      </c>
      <c r="U632" s="16">
        <v>164570</v>
      </c>
      <c r="W632" s="16">
        <v>85912</v>
      </c>
      <c r="Y632" s="16">
        <v>72112</v>
      </c>
      <c r="AA632" s="16">
        <v>0</v>
      </c>
      <c r="AC632" s="16">
        <v>3284</v>
      </c>
      <c r="AE632" s="16">
        <f t="shared" si="19"/>
        <v>2030733</v>
      </c>
    </row>
    <row r="633" spans="1:31" ht="12.75" customHeight="1">
      <c r="A633" s="1" t="s">
        <v>421</v>
      </c>
      <c r="B633" s="1"/>
      <c r="C633" s="1" t="s">
        <v>98</v>
      </c>
      <c r="E633" s="16">
        <v>920</v>
      </c>
      <c r="G633" s="16">
        <v>328</v>
      </c>
      <c r="I633" s="16">
        <v>0</v>
      </c>
      <c r="K633" s="16">
        <v>877</v>
      </c>
      <c r="M633" s="16">
        <v>830</v>
      </c>
      <c r="O633" s="16">
        <v>6744</v>
      </c>
      <c r="Q633" s="16">
        <v>15985</v>
      </c>
      <c r="S633" s="16">
        <v>0</v>
      </c>
      <c r="U633" s="16">
        <v>0</v>
      </c>
      <c r="W633" s="16">
        <v>0</v>
      </c>
      <c r="Y633" s="16">
        <v>0</v>
      </c>
      <c r="AA633" s="16">
        <v>0</v>
      </c>
      <c r="AC633" s="16">
        <v>0</v>
      </c>
      <c r="AE633" s="16">
        <f t="shared" si="19"/>
        <v>25684</v>
      </c>
    </row>
    <row r="634" spans="1:31" ht="12.75" customHeight="1">
      <c r="A634" s="1" t="s">
        <v>763</v>
      </c>
      <c r="C634" s="1" t="s">
        <v>84</v>
      </c>
      <c r="E634" s="16">
        <v>115940</v>
      </c>
      <c r="G634" s="16">
        <v>27163</v>
      </c>
      <c r="I634" s="16">
        <v>10837</v>
      </c>
      <c r="K634" s="16">
        <v>8140</v>
      </c>
      <c r="M634" s="16">
        <v>0</v>
      </c>
      <c r="O634" s="16">
        <v>95865</v>
      </c>
      <c r="Q634" s="16">
        <v>161110</v>
      </c>
      <c r="S634" s="16">
        <v>351615</v>
      </c>
      <c r="U634" s="16">
        <v>275215</v>
      </c>
      <c r="W634" s="16">
        <v>41339</v>
      </c>
      <c r="Y634" s="16">
        <v>11410</v>
      </c>
      <c r="AA634" s="16">
        <v>0</v>
      </c>
      <c r="AC634" s="16">
        <v>0</v>
      </c>
      <c r="AE634" s="16">
        <f t="shared" si="19"/>
        <v>1098634</v>
      </c>
    </row>
    <row r="635" spans="1:33" s="16" customFormat="1" ht="12.75" customHeight="1">
      <c r="A635" s="16" t="s">
        <v>444</v>
      </c>
      <c r="B635" s="41"/>
      <c r="C635" s="16" t="s">
        <v>346</v>
      </c>
      <c r="E635" s="16">
        <v>386471</v>
      </c>
      <c r="G635" s="16">
        <v>13828</v>
      </c>
      <c r="I635" s="16">
        <v>0</v>
      </c>
      <c r="K635" s="16">
        <v>9394</v>
      </c>
      <c r="M635" s="16">
        <v>0</v>
      </c>
      <c r="O635" s="16">
        <v>226145</v>
      </c>
      <c r="Q635" s="16">
        <v>214073</v>
      </c>
      <c r="S635" s="16">
        <v>116592</v>
      </c>
      <c r="U635" s="16">
        <v>43000</v>
      </c>
      <c r="W635" s="16">
        <v>10771</v>
      </c>
      <c r="Y635" s="16">
        <v>20834</v>
      </c>
      <c r="AA635" s="16">
        <v>0</v>
      </c>
      <c r="AC635" s="16">
        <v>0</v>
      </c>
      <c r="AE635" s="16">
        <f t="shared" si="19"/>
        <v>1041108</v>
      </c>
      <c r="AG635" s="1"/>
    </row>
    <row r="636" spans="1:31" ht="12.75" customHeight="1">
      <c r="A636" s="1" t="s">
        <v>767</v>
      </c>
      <c r="C636" s="1" t="s">
        <v>190</v>
      </c>
      <c r="E636" s="16">
        <v>195484</v>
      </c>
      <c r="G636" s="16">
        <v>8861</v>
      </c>
      <c r="I636" s="16">
        <v>7591</v>
      </c>
      <c r="K636" s="16">
        <v>2243</v>
      </c>
      <c r="M636" s="16">
        <v>13213</v>
      </c>
      <c r="O636" s="16">
        <v>72126</v>
      </c>
      <c r="Q636" s="16">
        <v>191082</v>
      </c>
      <c r="S636" s="16">
        <v>132770</v>
      </c>
      <c r="U636" s="16">
        <v>107855</v>
      </c>
      <c r="W636" s="16">
        <v>88024</v>
      </c>
      <c r="Y636" s="16">
        <v>0</v>
      </c>
      <c r="AA636" s="16">
        <v>6153</v>
      </c>
      <c r="AC636" s="16">
        <v>0</v>
      </c>
      <c r="AE636" s="16">
        <f t="shared" si="19"/>
        <v>825402</v>
      </c>
    </row>
    <row r="637" spans="15:31" ht="12.75" customHeight="1">
      <c r="O637" s="16"/>
      <c r="AE637" s="34" t="s">
        <v>785</v>
      </c>
    </row>
    <row r="638" spans="1:31" s="36" customFormat="1" ht="12.75" customHeight="1">
      <c r="A638" s="36" t="s">
        <v>645</v>
      </c>
      <c r="B638" s="42"/>
      <c r="C638" s="36" t="s">
        <v>274</v>
      </c>
      <c r="E638" s="36">
        <v>229511</v>
      </c>
      <c r="G638" s="36">
        <v>665</v>
      </c>
      <c r="I638" s="36">
        <v>7116</v>
      </c>
      <c r="K638" s="36">
        <v>3895</v>
      </c>
      <c r="M638" s="36">
        <v>0</v>
      </c>
      <c r="O638" s="36">
        <v>92268</v>
      </c>
      <c r="Q638" s="36">
        <v>239114</v>
      </c>
      <c r="S638" s="36">
        <v>513795</v>
      </c>
      <c r="U638" s="36">
        <v>181660</v>
      </c>
      <c r="W638" s="36">
        <v>76424</v>
      </c>
      <c r="Y638" s="36">
        <v>238943</v>
      </c>
      <c r="AA638" s="36">
        <v>0</v>
      </c>
      <c r="AC638" s="36">
        <v>0</v>
      </c>
      <c r="AE638" s="36">
        <f aca="true" t="shared" si="20" ref="AE638:AE662">SUM(E638:AC638)</f>
        <v>1583391</v>
      </c>
    </row>
    <row r="639" spans="1:31" ht="12.75" customHeight="1">
      <c r="A639" s="1" t="s">
        <v>778</v>
      </c>
      <c r="C639" s="1" t="s">
        <v>94</v>
      </c>
      <c r="E639" s="16">
        <v>180896</v>
      </c>
      <c r="G639" s="16">
        <v>29936</v>
      </c>
      <c r="I639" s="16">
        <v>18595</v>
      </c>
      <c r="K639" s="16">
        <v>336</v>
      </c>
      <c r="M639" s="16">
        <v>3247</v>
      </c>
      <c r="O639" s="16">
        <v>64749</v>
      </c>
      <c r="Q639" s="16">
        <v>236120</v>
      </c>
      <c r="S639" s="16">
        <v>635727</v>
      </c>
      <c r="U639" s="16">
        <v>150000</v>
      </c>
      <c r="W639" s="16">
        <v>4804</v>
      </c>
      <c r="Y639" s="16">
        <v>262653</v>
      </c>
      <c r="AA639" s="16">
        <v>0</v>
      </c>
      <c r="AC639" s="16">
        <v>0</v>
      </c>
      <c r="AE639" s="16">
        <f t="shared" si="20"/>
        <v>1587063</v>
      </c>
    </row>
    <row r="640" spans="1:31" ht="12.75" customHeight="1">
      <c r="A640" s="1" t="s">
        <v>422</v>
      </c>
      <c r="B640" s="1"/>
      <c r="C640" s="1" t="s">
        <v>250</v>
      </c>
      <c r="E640" s="16">
        <v>1678607</v>
      </c>
      <c r="G640" s="16">
        <v>12387</v>
      </c>
      <c r="I640" s="16">
        <v>28359</v>
      </c>
      <c r="K640" s="16">
        <v>36419</v>
      </c>
      <c r="M640" s="16">
        <v>172328</v>
      </c>
      <c r="O640" s="16">
        <v>183263</v>
      </c>
      <c r="Q640" s="16">
        <v>465224</v>
      </c>
      <c r="S640" s="16">
        <v>956417</v>
      </c>
      <c r="U640" s="16">
        <v>566273</v>
      </c>
      <c r="W640" s="16">
        <v>0</v>
      </c>
      <c r="Y640" s="16">
        <v>655566</v>
      </c>
      <c r="AA640" s="16">
        <v>0</v>
      </c>
      <c r="AC640" s="16">
        <v>0</v>
      </c>
      <c r="AE640" s="16">
        <f t="shared" si="20"/>
        <v>4754843</v>
      </c>
    </row>
    <row r="641" spans="1:31" ht="12.75" customHeight="1">
      <c r="A641" s="1" t="s">
        <v>423</v>
      </c>
      <c r="B641" s="1"/>
      <c r="C641" s="1" t="s">
        <v>236</v>
      </c>
      <c r="E641" s="16">
        <v>2903</v>
      </c>
      <c r="G641" s="16">
        <v>3232</v>
      </c>
      <c r="I641" s="16">
        <v>0</v>
      </c>
      <c r="K641" s="16">
        <v>0</v>
      </c>
      <c r="M641" s="16">
        <v>165</v>
      </c>
      <c r="O641" s="16">
        <v>3824</v>
      </c>
      <c r="Q641" s="16">
        <v>10802</v>
      </c>
      <c r="S641" s="16">
        <v>0</v>
      </c>
      <c r="U641" s="16">
        <v>0</v>
      </c>
      <c r="W641" s="16">
        <v>0</v>
      </c>
      <c r="Y641" s="16">
        <v>0</v>
      </c>
      <c r="AA641" s="16">
        <v>0</v>
      </c>
      <c r="AC641" s="16">
        <v>0</v>
      </c>
      <c r="AE641" s="16">
        <f t="shared" si="20"/>
        <v>20926</v>
      </c>
    </row>
    <row r="642" spans="1:31" ht="12.75" customHeight="1">
      <c r="A642" s="1" t="s">
        <v>498</v>
      </c>
      <c r="C642" s="1" t="s">
        <v>102</v>
      </c>
      <c r="E642" s="16">
        <v>303989</v>
      </c>
      <c r="G642" s="16">
        <v>6000</v>
      </c>
      <c r="I642" s="16">
        <v>10472</v>
      </c>
      <c r="K642" s="16">
        <v>47767</v>
      </c>
      <c r="M642" s="16">
        <v>951</v>
      </c>
      <c r="O642" s="16">
        <v>270909</v>
      </c>
      <c r="Q642" s="16">
        <v>163097</v>
      </c>
      <c r="S642" s="16">
        <v>554513</v>
      </c>
      <c r="U642" s="16">
        <v>0</v>
      </c>
      <c r="W642" s="16">
        <v>0</v>
      </c>
      <c r="Y642" s="16">
        <v>0</v>
      </c>
      <c r="AA642" s="16">
        <v>0</v>
      </c>
      <c r="AC642" s="16">
        <v>248325</v>
      </c>
      <c r="AE642" s="16">
        <f t="shared" si="20"/>
        <v>1606023</v>
      </c>
    </row>
    <row r="643" spans="1:31" ht="12.75" customHeight="1">
      <c r="A643" s="1" t="s">
        <v>689</v>
      </c>
      <c r="C643" s="1" t="s">
        <v>184</v>
      </c>
      <c r="E643" s="16">
        <v>70935</v>
      </c>
      <c r="G643" s="16">
        <v>2178</v>
      </c>
      <c r="I643" s="16">
        <v>13576</v>
      </c>
      <c r="K643" s="16">
        <v>360</v>
      </c>
      <c r="M643" s="16">
        <v>0</v>
      </c>
      <c r="O643" s="16">
        <v>14014</v>
      </c>
      <c r="Q643" s="16">
        <v>34647</v>
      </c>
      <c r="S643" s="16">
        <v>421100</v>
      </c>
      <c r="U643" s="16">
        <v>18203</v>
      </c>
      <c r="W643" s="16">
        <v>607</v>
      </c>
      <c r="Y643" s="16">
        <v>110</v>
      </c>
      <c r="AA643" s="16">
        <v>0</v>
      </c>
      <c r="AC643" s="16">
        <v>0</v>
      </c>
      <c r="AE643" s="16">
        <f t="shared" si="20"/>
        <v>575730</v>
      </c>
    </row>
    <row r="644" spans="1:31" ht="12.75" customHeight="1">
      <c r="A644" s="1" t="s">
        <v>424</v>
      </c>
      <c r="B644" s="1"/>
      <c r="C644" s="1" t="s">
        <v>192</v>
      </c>
      <c r="E644" s="16">
        <v>9767</v>
      </c>
      <c r="G644" s="16">
        <v>7087</v>
      </c>
      <c r="I644" s="16">
        <v>3064</v>
      </c>
      <c r="K644" s="16">
        <v>95</v>
      </c>
      <c r="M644" s="16">
        <v>0</v>
      </c>
      <c r="O644" s="16">
        <v>14186</v>
      </c>
      <c r="Q644" s="16">
        <v>109045</v>
      </c>
      <c r="S644" s="16">
        <v>88574</v>
      </c>
      <c r="U644" s="16">
        <v>0</v>
      </c>
      <c r="W644" s="16">
        <v>0</v>
      </c>
      <c r="Y644" s="16">
        <v>8000</v>
      </c>
      <c r="AA644" s="16">
        <v>0</v>
      </c>
      <c r="AC644" s="16">
        <v>0</v>
      </c>
      <c r="AE644" s="16">
        <f t="shared" si="20"/>
        <v>239818</v>
      </c>
    </row>
    <row r="645" spans="1:31" ht="12.75" customHeight="1">
      <c r="A645" s="1" t="s">
        <v>733</v>
      </c>
      <c r="C645" s="1" t="s">
        <v>106</v>
      </c>
      <c r="E645" s="16">
        <v>70912</v>
      </c>
      <c r="G645" s="16">
        <v>853</v>
      </c>
      <c r="I645" s="16">
        <v>712</v>
      </c>
      <c r="K645" s="16">
        <v>100</v>
      </c>
      <c r="M645" s="16">
        <v>842</v>
      </c>
      <c r="O645" s="16">
        <v>15228</v>
      </c>
      <c r="Q645" s="16">
        <v>36631</v>
      </c>
      <c r="S645" s="16">
        <v>0</v>
      </c>
      <c r="U645" s="16">
        <v>15656</v>
      </c>
      <c r="W645" s="16">
        <v>6277</v>
      </c>
      <c r="Y645" s="16">
        <v>7319</v>
      </c>
      <c r="AA645" s="16">
        <v>0</v>
      </c>
      <c r="AC645" s="16">
        <v>3</v>
      </c>
      <c r="AE645" s="16">
        <f t="shared" si="20"/>
        <v>154533</v>
      </c>
    </row>
    <row r="646" spans="1:31" ht="12.75" customHeight="1">
      <c r="A646" s="1" t="s">
        <v>425</v>
      </c>
      <c r="B646" s="1"/>
      <c r="C646" s="1" t="s">
        <v>80</v>
      </c>
      <c r="E646" s="16">
        <v>3802</v>
      </c>
      <c r="G646" s="16">
        <v>0</v>
      </c>
      <c r="I646" s="16">
        <v>0</v>
      </c>
      <c r="K646" s="16">
        <v>0</v>
      </c>
      <c r="M646" s="16">
        <v>0</v>
      </c>
      <c r="O646" s="16">
        <v>4290</v>
      </c>
      <c r="Q646" s="16">
        <v>10706</v>
      </c>
      <c r="S646" s="16">
        <v>0</v>
      </c>
      <c r="U646" s="16">
        <v>0</v>
      </c>
      <c r="W646" s="16">
        <v>0</v>
      </c>
      <c r="Y646" s="16">
        <v>0</v>
      </c>
      <c r="AA646" s="16">
        <v>0</v>
      </c>
      <c r="AC646" s="16">
        <v>11264</v>
      </c>
      <c r="AE646" s="16">
        <f t="shared" si="20"/>
        <v>30062</v>
      </c>
    </row>
    <row r="647" spans="1:31" ht="12.75" customHeight="1">
      <c r="A647" s="1" t="s">
        <v>445</v>
      </c>
      <c r="C647" s="1" t="s">
        <v>346</v>
      </c>
      <c r="E647" s="16">
        <v>120849</v>
      </c>
      <c r="G647" s="16">
        <v>2610</v>
      </c>
      <c r="I647" s="16">
        <v>0</v>
      </c>
      <c r="K647" s="16">
        <v>0</v>
      </c>
      <c r="M647" s="16">
        <v>0</v>
      </c>
      <c r="O647" s="16">
        <v>27889</v>
      </c>
      <c r="Q647" s="16">
        <v>77749</v>
      </c>
      <c r="S647" s="16">
        <v>18236</v>
      </c>
      <c r="U647" s="16">
        <v>0</v>
      </c>
      <c r="W647" s="16">
        <v>0</v>
      </c>
      <c r="Y647" s="16">
        <v>0</v>
      </c>
      <c r="AA647" s="16">
        <v>0</v>
      </c>
      <c r="AC647" s="16">
        <v>0</v>
      </c>
      <c r="AE647" s="16">
        <f t="shared" si="20"/>
        <v>247333</v>
      </c>
    </row>
    <row r="648" spans="1:31" ht="12.75" customHeight="1">
      <c r="A648" s="1" t="s">
        <v>694</v>
      </c>
      <c r="C648" s="1" t="s">
        <v>137</v>
      </c>
      <c r="E648" s="16">
        <v>492705</v>
      </c>
      <c r="G648" s="16">
        <v>0</v>
      </c>
      <c r="I648" s="16">
        <v>10574</v>
      </c>
      <c r="K648" s="16">
        <v>1912</v>
      </c>
      <c r="M648" s="16">
        <v>18857</v>
      </c>
      <c r="O648" s="16">
        <v>75418</v>
      </c>
      <c r="Q648" s="16">
        <v>132437</v>
      </c>
      <c r="S648" s="16">
        <v>4238</v>
      </c>
      <c r="U648" s="16">
        <v>66667</v>
      </c>
      <c r="W648" s="16">
        <v>7079</v>
      </c>
      <c r="Y648" s="16">
        <v>55000</v>
      </c>
      <c r="AA648" s="16">
        <v>2973</v>
      </c>
      <c r="AC648" s="16">
        <v>0</v>
      </c>
      <c r="AE648" s="16">
        <f t="shared" si="20"/>
        <v>867860</v>
      </c>
    </row>
    <row r="649" spans="1:31" ht="12.75" customHeight="1">
      <c r="A649" s="1" t="s">
        <v>603</v>
      </c>
      <c r="C649" s="1" t="s">
        <v>69</v>
      </c>
      <c r="E649" s="16">
        <v>686669</v>
      </c>
      <c r="G649" s="16">
        <v>9995</v>
      </c>
      <c r="I649" s="16">
        <v>24810</v>
      </c>
      <c r="K649" s="16">
        <v>3293</v>
      </c>
      <c r="M649" s="16">
        <v>0</v>
      </c>
      <c r="O649" s="16">
        <v>858483</v>
      </c>
      <c r="Q649" s="16">
        <v>265150</v>
      </c>
      <c r="S649" s="16">
        <v>0</v>
      </c>
      <c r="U649" s="16">
        <v>21210</v>
      </c>
      <c r="W649" s="16">
        <v>18328</v>
      </c>
      <c r="Y649" s="16">
        <v>113628</v>
      </c>
      <c r="AA649" s="16">
        <v>0</v>
      </c>
      <c r="AC649" s="16">
        <v>0</v>
      </c>
      <c r="AE649" s="16">
        <f t="shared" si="20"/>
        <v>2001566</v>
      </c>
    </row>
    <row r="650" spans="1:31" ht="12.75" customHeight="1">
      <c r="A650" s="1" t="s">
        <v>426</v>
      </c>
      <c r="B650" s="1"/>
      <c r="C650" s="1" t="s">
        <v>73</v>
      </c>
      <c r="E650" s="16">
        <v>2383122</v>
      </c>
      <c r="G650" s="16">
        <v>6611</v>
      </c>
      <c r="I650" s="16">
        <v>319598</v>
      </c>
      <c r="K650" s="16">
        <v>49605</v>
      </c>
      <c r="M650" s="16">
        <v>524268</v>
      </c>
      <c r="O650" s="16">
        <v>534851</v>
      </c>
      <c r="Q650" s="16">
        <v>1292636</v>
      </c>
      <c r="S650" s="16">
        <v>2046251</v>
      </c>
      <c r="U650" s="16">
        <v>884929</v>
      </c>
      <c r="W650" s="16">
        <v>0</v>
      </c>
      <c r="Y650" s="16">
        <v>1050188</v>
      </c>
      <c r="AA650" s="16">
        <v>0</v>
      </c>
      <c r="AC650" s="16">
        <v>2705</v>
      </c>
      <c r="AE650" s="16">
        <f t="shared" si="20"/>
        <v>9094764</v>
      </c>
    </row>
    <row r="651" spans="1:31" ht="12.75" customHeight="1">
      <c r="A651" s="1" t="s">
        <v>427</v>
      </c>
      <c r="B651" s="1"/>
      <c r="C651" s="1" t="s">
        <v>112</v>
      </c>
      <c r="E651" s="16">
        <v>1406983</v>
      </c>
      <c r="G651" s="16">
        <v>2858</v>
      </c>
      <c r="I651" s="16">
        <v>0</v>
      </c>
      <c r="K651" s="16">
        <v>896379</v>
      </c>
      <c r="M651" s="16">
        <v>59607</v>
      </c>
      <c r="O651" s="16">
        <v>119889</v>
      </c>
      <c r="Q651" s="16">
        <v>794822</v>
      </c>
      <c r="S651" s="16">
        <v>539091</v>
      </c>
      <c r="U651" s="16">
        <v>1330751</v>
      </c>
      <c r="W651" s="16">
        <v>0</v>
      </c>
      <c r="Y651" s="16">
        <v>47000</v>
      </c>
      <c r="AA651" s="16">
        <v>37600</v>
      </c>
      <c r="AC651" s="16">
        <v>3000</v>
      </c>
      <c r="AE651" s="16">
        <f t="shared" si="20"/>
        <v>5237980</v>
      </c>
    </row>
    <row r="652" spans="1:31" ht="12.75" customHeight="1">
      <c r="A652" s="1" t="s">
        <v>661</v>
      </c>
      <c r="C652" s="1" t="s">
        <v>80</v>
      </c>
      <c r="E652" s="16">
        <v>321347</v>
      </c>
      <c r="G652" s="16">
        <v>25657</v>
      </c>
      <c r="I652" s="16">
        <v>75679</v>
      </c>
      <c r="K652" s="16">
        <v>0</v>
      </c>
      <c r="M652" s="16">
        <v>0</v>
      </c>
      <c r="O652" s="16">
        <v>246808</v>
      </c>
      <c r="Q652" s="16">
        <v>174923</v>
      </c>
      <c r="S652" s="16">
        <v>466886</v>
      </c>
      <c r="U652" s="16">
        <v>153005</v>
      </c>
      <c r="W652" s="16">
        <v>27530</v>
      </c>
      <c r="Y652" s="16">
        <v>9774</v>
      </c>
      <c r="AA652" s="16">
        <v>0</v>
      </c>
      <c r="AC652" s="16">
        <v>0</v>
      </c>
      <c r="AE652" s="16">
        <f t="shared" si="20"/>
        <v>1501609</v>
      </c>
    </row>
    <row r="653" spans="1:31" ht="12.75" customHeight="1">
      <c r="A653" s="1" t="s">
        <v>428</v>
      </c>
      <c r="B653" s="1"/>
      <c r="C653" s="1" t="s">
        <v>312</v>
      </c>
      <c r="E653" s="16">
        <v>4200</v>
      </c>
      <c r="G653" s="16">
        <v>583</v>
      </c>
      <c r="I653" s="16">
        <v>0</v>
      </c>
      <c r="K653" s="16">
        <v>60</v>
      </c>
      <c r="M653" s="16">
        <v>0</v>
      </c>
      <c r="O653" s="16">
        <v>0</v>
      </c>
      <c r="Q653" s="16">
        <v>26074</v>
      </c>
      <c r="S653" s="16">
        <v>0</v>
      </c>
      <c r="U653" s="16">
        <v>0</v>
      </c>
      <c r="W653" s="16">
        <v>0</v>
      </c>
      <c r="Y653" s="16">
        <v>0</v>
      </c>
      <c r="AA653" s="16">
        <v>0</v>
      </c>
      <c r="AC653" s="16">
        <v>1951</v>
      </c>
      <c r="AE653" s="16">
        <f t="shared" si="20"/>
        <v>32868</v>
      </c>
    </row>
    <row r="654" spans="1:31" ht="12.75" customHeight="1">
      <c r="A654" s="1" t="s">
        <v>429</v>
      </c>
      <c r="B654" s="1"/>
      <c r="C654" s="1" t="s">
        <v>142</v>
      </c>
      <c r="E654" s="16">
        <v>296177</v>
      </c>
      <c r="G654" s="16">
        <v>1141</v>
      </c>
      <c r="I654" s="16">
        <v>107135</v>
      </c>
      <c r="K654" s="16">
        <v>7759</v>
      </c>
      <c r="M654" s="16">
        <v>0</v>
      </c>
      <c r="O654" s="16">
        <v>186126</v>
      </c>
      <c r="Q654" s="16">
        <v>92839</v>
      </c>
      <c r="S654" s="16">
        <v>144795</v>
      </c>
      <c r="U654" s="16">
        <v>0</v>
      </c>
      <c r="W654" s="16">
        <v>0</v>
      </c>
      <c r="Y654" s="16">
        <v>70455</v>
      </c>
      <c r="AA654" s="16">
        <v>0</v>
      </c>
      <c r="AC654" s="16">
        <v>0</v>
      </c>
      <c r="AE654" s="16">
        <f t="shared" si="20"/>
        <v>906427</v>
      </c>
    </row>
    <row r="655" spans="1:31" ht="12.75" customHeight="1">
      <c r="A655" s="1" t="s">
        <v>751</v>
      </c>
      <c r="C655" s="1" t="s">
        <v>192</v>
      </c>
      <c r="E655" s="16">
        <v>35367</v>
      </c>
      <c r="G655" s="16">
        <v>0</v>
      </c>
      <c r="I655" s="16">
        <v>0</v>
      </c>
      <c r="K655" s="16">
        <v>0</v>
      </c>
      <c r="M655" s="16">
        <v>0</v>
      </c>
      <c r="O655" s="16">
        <v>200</v>
      </c>
      <c r="Q655" s="16">
        <v>49994</v>
      </c>
      <c r="S655" s="16">
        <v>0</v>
      </c>
      <c r="U655" s="16">
        <v>1707</v>
      </c>
      <c r="W655" s="16">
        <v>73</v>
      </c>
      <c r="Y655" s="16">
        <v>0</v>
      </c>
      <c r="AA655" s="16">
        <v>0</v>
      </c>
      <c r="AC655" s="16">
        <v>0</v>
      </c>
      <c r="AE655" s="16">
        <f t="shared" si="20"/>
        <v>87341</v>
      </c>
    </row>
    <row r="656" spans="1:31" ht="12.75" customHeight="1">
      <c r="A656" s="1" t="s">
        <v>737</v>
      </c>
      <c r="C656" s="1" t="s">
        <v>276</v>
      </c>
      <c r="E656" s="16">
        <v>1527</v>
      </c>
      <c r="G656" s="16">
        <v>0</v>
      </c>
      <c r="I656" s="16">
        <v>0</v>
      </c>
      <c r="K656" s="16">
        <v>0</v>
      </c>
      <c r="M656" s="16">
        <v>0</v>
      </c>
      <c r="O656" s="16">
        <v>1217</v>
      </c>
      <c r="Q656" s="16">
        <v>3445</v>
      </c>
      <c r="S656" s="16">
        <v>0</v>
      </c>
      <c r="U656" s="16">
        <v>0</v>
      </c>
      <c r="W656" s="16">
        <v>0</v>
      </c>
      <c r="Y656" s="16">
        <v>0</v>
      </c>
      <c r="AA656" s="16">
        <v>0</v>
      </c>
      <c r="AC656" s="16">
        <v>0</v>
      </c>
      <c r="AE656" s="16">
        <f t="shared" si="20"/>
        <v>6189</v>
      </c>
    </row>
    <row r="657" spans="1:31" ht="12.75" customHeight="1">
      <c r="A657" s="1" t="s">
        <v>430</v>
      </c>
      <c r="B657" s="1"/>
      <c r="C657" s="1" t="s">
        <v>157</v>
      </c>
      <c r="E657" s="16">
        <v>989996</v>
      </c>
      <c r="G657" s="16">
        <v>10123</v>
      </c>
      <c r="I657" s="16">
        <v>315534</v>
      </c>
      <c r="K657" s="16">
        <v>311976</v>
      </c>
      <c r="M657" s="16">
        <v>0</v>
      </c>
      <c r="O657" s="16">
        <v>493186</v>
      </c>
      <c r="Q657" s="16">
        <v>550016</v>
      </c>
      <c r="S657" s="16">
        <v>0</v>
      </c>
      <c r="U657" s="16">
        <v>78727</v>
      </c>
      <c r="W657" s="16">
        <v>57610</v>
      </c>
      <c r="Y657" s="16">
        <v>1079769</v>
      </c>
      <c r="AA657" s="16">
        <v>0</v>
      </c>
      <c r="AC657" s="16">
        <v>0</v>
      </c>
      <c r="AE657" s="16">
        <f t="shared" si="20"/>
        <v>3886937</v>
      </c>
    </row>
    <row r="658" spans="1:31" ht="12.75" customHeight="1">
      <c r="A658" s="1" t="s">
        <v>431</v>
      </c>
      <c r="B658" s="1"/>
      <c r="C658" s="1" t="s">
        <v>78</v>
      </c>
      <c r="E658" s="16">
        <v>2352</v>
      </c>
      <c r="G658" s="16">
        <v>0</v>
      </c>
      <c r="I658" s="16">
        <v>0</v>
      </c>
      <c r="K658" s="16">
        <v>0</v>
      </c>
      <c r="M658" s="16">
        <v>5023</v>
      </c>
      <c r="O658" s="16">
        <v>6051</v>
      </c>
      <c r="Q658" s="16">
        <v>14548</v>
      </c>
      <c r="S658" s="16">
        <v>0</v>
      </c>
      <c r="U658" s="16">
        <v>0</v>
      </c>
      <c r="W658" s="16">
        <v>0</v>
      </c>
      <c r="Y658" s="16">
        <v>0</v>
      </c>
      <c r="AA658" s="16">
        <v>0</v>
      </c>
      <c r="AC658" s="16">
        <v>0</v>
      </c>
      <c r="AE658" s="16">
        <f t="shared" si="20"/>
        <v>27974</v>
      </c>
    </row>
    <row r="659" spans="1:31" ht="12.75" customHeight="1">
      <c r="A659" s="1" t="s">
        <v>432</v>
      </c>
      <c r="B659" s="1"/>
      <c r="C659" s="1" t="s">
        <v>69</v>
      </c>
      <c r="E659" s="16">
        <v>169879</v>
      </c>
      <c r="G659" s="16">
        <v>0</v>
      </c>
      <c r="I659" s="16">
        <v>0</v>
      </c>
      <c r="K659" s="16">
        <v>620</v>
      </c>
      <c r="M659" s="16">
        <v>0</v>
      </c>
      <c r="O659" s="16">
        <v>50925</v>
      </c>
      <c r="Q659" s="16">
        <v>105113</v>
      </c>
      <c r="S659" s="16">
        <v>26088</v>
      </c>
      <c r="U659" s="16">
        <v>44169</v>
      </c>
      <c r="W659" s="16">
        <v>0</v>
      </c>
      <c r="Y659" s="16">
        <v>0</v>
      </c>
      <c r="AA659" s="16">
        <v>0</v>
      </c>
      <c r="AC659" s="16">
        <v>44200</v>
      </c>
      <c r="AE659" s="16">
        <f t="shared" si="20"/>
        <v>440994</v>
      </c>
    </row>
    <row r="660" spans="1:31" ht="12.75" customHeight="1">
      <c r="A660" s="1" t="s">
        <v>433</v>
      </c>
      <c r="B660" s="1"/>
      <c r="C660" s="1" t="s">
        <v>236</v>
      </c>
      <c r="E660" s="16">
        <v>7740</v>
      </c>
      <c r="G660" s="16">
        <v>0</v>
      </c>
      <c r="I660" s="16">
        <v>0</v>
      </c>
      <c r="K660" s="16">
        <v>0</v>
      </c>
      <c r="M660" s="16">
        <v>2471</v>
      </c>
      <c r="O660" s="16">
        <v>6984</v>
      </c>
      <c r="Q660" s="16">
        <v>20444</v>
      </c>
      <c r="S660" s="16">
        <v>0</v>
      </c>
      <c r="U660" s="16">
        <v>0</v>
      </c>
      <c r="W660" s="16">
        <v>0</v>
      </c>
      <c r="Y660" s="16">
        <v>0</v>
      </c>
      <c r="AA660" s="16">
        <v>0</v>
      </c>
      <c r="AC660" s="16">
        <v>0</v>
      </c>
      <c r="AE660" s="16">
        <f t="shared" si="20"/>
        <v>37639</v>
      </c>
    </row>
    <row r="661" spans="1:31" ht="12.75" customHeight="1">
      <c r="A661" s="1" t="s">
        <v>434</v>
      </c>
      <c r="B661" s="1"/>
      <c r="C661" s="1" t="s">
        <v>369</v>
      </c>
      <c r="E661" s="16">
        <v>0</v>
      </c>
      <c r="G661" s="16">
        <v>0</v>
      </c>
      <c r="I661" s="16">
        <v>3645</v>
      </c>
      <c r="K661" s="16">
        <v>1475</v>
      </c>
      <c r="M661" s="16">
        <v>1874</v>
      </c>
      <c r="O661" s="16">
        <v>8449</v>
      </c>
      <c r="Q661" s="16">
        <v>23115</v>
      </c>
      <c r="S661" s="16">
        <v>0</v>
      </c>
      <c r="U661" s="16">
        <v>0</v>
      </c>
      <c r="W661" s="16">
        <v>0</v>
      </c>
      <c r="Y661" s="16">
        <v>0</v>
      </c>
      <c r="AA661" s="16">
        <v>0</v>
      </c>
      <c r="AC661" s="16">
        <v>0</v>
      </c>
      <c r="AE661" s="16">
        <f t="shared" si="20"/>
        <v>38558</v>
      </c>
    </row>
    <row r="662" spans="1:31" ht="12.75" customHeight="1">
      <c r="A662" s="1" t="s">
        <v>742</v>
      </c>
      <c r="C662" s="1" t="s">
        <v>96</v>
      </c>
      <c r="E662" s="16">
        <v>23384</v>
      </c>
      <c r="G662" s="16">
        <v>2801</v>
      </c>
      <c r="I662" s="16">
        <v>0</v>
      </c>
      <c r="K662" s="16">
        <v>23</v>
      </c>
      <c r="M662" s="16">
        <v>0</v>
      </c>
      <c r="O662" s="16">
        <v>9814</v>
      </c>
      <c r="Q662" s="16">
        <v>12692</v>
      </c>
      <c r="S662" s="16">
        <v>0</v>
      </c>
      <c r="U662" s="16">
        <v>2884</v>
      </c>
      <c r="W662" s="16">
        <v>615</v>
      </c>
      <c r="Y662" s="16">
        <v>0</v>
      </c>
      <c r="AA662" s="16">
        <v>0</v>
      </c>
      <c r="AC662" s="16">
        <v>0</v>
      </c>
      <c r="AE662" s="16">
        <f t="shared" si="20"/>
        <v>52213</v>
      </c>
    </row>
  </sheetData>
  <printOptions horizontalCentered="1"/>
  <pageMargins left="0.75" right="0.75" top="0.5" bottom="0.75" header="0" footer="0.25"/>
  <pageSetup firstPageNumber="70" useFirstPageNumber="1" horizontalDpi="1200" verticalDpi="1200" orientation="portrait" pageOrder="overThenDown" scale="80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CGGard</cp:lastModifiedBy>
  <cp:lastPrinted>2006-07-27T19:11:01Z</cp:lastPrinted>
  <dcterms:created xsi:type="dcterms:W3CDTF">2004-02-14T14:16:55Z</dcterms:created>
  <dcterms:modified xsi:type="dcterms:W3CDTF">2006-07-27T19:13:13Z</dcterms:modified>
  <cp:category/>
  <cp:version/>
  <cp:contentType/>
  <cp:contentStatus/>
</cp:coreProperties>
</file>